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aterbasketbal Nederland\Zuid\wedstrijdverslagen\2025\"/>
    </mc:Choice>
  </mc:AlternateContent>
  <xr:revisionPtr revIDLastSave="0" documentId="13_ncr:1_{0004C266-1CF9-4CB9-8D46-591CC3E053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edstrijden" sheetId="22" r:id="rId1"/>
    <sheet name="berekeningen" sheetId="24" state="hidden" r:id="rId2"/>
    <sheet name="berekening1" sheetId="26" state="hidden" r:id="rId3"/>
    <sheet name="1" sheetId="1" r:id="rId4"/>
    <sheet name="2" sheetId="21" r:id="rId5"/>
    <sheet name="3" sheetId="20" r:id="rId6"/>
    <sheet name="4" sheetId="19" r:id="rId7"/>
    <sheet name="5" sheetId="18" r:id="rId8"/>
    <sheet name="6" sheetId="17" r:id="rId9"/>
    <sheet name="7" sheetId="16" r:id="rId10"/>
    <sheet name="8" sheetId="15" r:id="rId11"/>
    <sheet name="9" sheetId="14" r:id="rId12"/>
    <sheet name="10" sheetId="13" r:id="rId13"/>
    <sheet name="11" sheetId="12" r:id="rId14"/>
    <sheet name="12" sheetId="11" r:id="rId15"/>
    <sheet name="13" sheetId="10" r:id="rId16"/>
    <sheet name="14" sheetId="9" r:id="rId17"/>
    <sheet name="15" sheetId="8" r:id="rId18"/>
    <sheet name="16" sheetId="30" r:id="rId19"/>
    <sheet name="17" sheetId="35" r:id="rId20"/>
    <sheet name="18" sheetId="34" r:id="rId21"/>
    <sheet name="19" sheetId="33" r:id="rId22"/>
    <sheet name="20" sheetId="32" r:id="rId23"/>
    <sheet name="21" sheetId="39" r:id="rId24"/>
    <sheet name="spelerslijsten" sheetId="3" r:id="rId25"/>
    <sheet name="Topscorelijst" sheetId="25" r:id="rId26"/>
    <sheet name="Handleiding" sheetId="27" r:id="rId27"/>
    <sheet name="Wedstrijdformulier" sheetId="28" r:id="rId28"/>
    <sheet name="Handtekening" sheetId="29" r:id="rId29"/>
  </sheets>
  <definedNames>
    <definedName name="_xlnm._FilterDatabase" localSheetId="25" hidden="1">Topscorelijst!$A$3:$D$93</definedName>
    <definedName name="_xlnm.Print_Area" localSheetId="27">Wedstrijdformulier!$A$1:$AR$50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53" i="24" l="1"/>
  <c r="A442" i="24"/>
  <c r="A443" i="24" s="1"/>
  <c r="A454" i="24"/>
  <c r="G452" i="24"/>
  <c r="F452" i="24"/>
  <c r="G441" i="24"/>
  <c r="F441" i="24"/>
  <c r="F3" i="26"/>
  <c r="G3" i="26"/>
  <c r="F6" i="26"/>
  <c r="G6" i="26"/>
  <c r="M7" i="26"/>
  <c r="N7" i="26"/>
  <c r="M8" i="26"/>
  <c r="N8" i="26"/>
  <c r="G24" i="26"/>
  <c r="J24" i="26"/>
  <c r="G25" i="26"/>
  <c r="J25" i="26"/>
  <c r="G26" i="26"/>
  <c r="J26" i="26"/>
  <c r="G27" i="26"/>
  <c r="J27" i="26"/>
  <c r="G28" i="26"/>
  <c r="J28" i="26"/>
  <c r="G29" i="26"/>
  <c r="J29" i="26"/>
  <c r="G30" i="26"/>
  <c r="J30" i="26"/>
  <c r="G31" i="26"/>
  <c r="J31" i="26"/>
  <c r="BP46" i="39"/>
  <c r="BO46" i="39"/>
  <c r="BN46" i="39"/>
  <c r="BM46" i="39"/>
  <c r="BL46" i="39"/>
  <c r="BQ46" i="39" s="1"/>
  <c r="BC46" i="39"/>
  <c r="BB46" i="39"/>
  <c r="BD46" i="39" s="1"/>
  <c r="BA46" i="39"/>
  <c r="AZ46" i="39"/>
  <c r="AY46" i="39"/>
  <c r="BP45" i="39"/>
  <c r="BO45" i="39"/>
  <c r="BN45" i="39"/>
  <c r="BQ45" i="39" s="1"/>
  <c r="BM45" i="39"/>
  <c r="BL45" i="39"/>
  <c r="BC45" i="39"/>
  <c r="BB45" i="39"/>
  <c r="BD45" i="39" s="1"/>
  <c r="BA45" i="39"/>
  <c r="AZ45" i="39"/>
  <c r="AY45" i="39"/>
  <c r="BP44" i="39"/>
  <c r="BO44" i="39"/>
  <c r="BN44" i="39"/>
  <c r="BM44" i="39"/>
  <c r="BL44" i="39"/>
  <c r="BQ44" i="39" s="1"/>
  <c r="BD44" i="39"/>
  <c r="BC44" i="39"/>
  <c r="BB44" i="39"/>
  <c r="BA44" i="39"/>
  <c r="AZ44" i="39"/>
  <c r="AY44" i="39"/>
  <c r="BP43" i="39"/>
  <c r="BO43" i="39"/>
  <c r="BN43" i="39"/>
  <c r="BM43" i="39"/>
  <c r="BL43" i="39"/>
  <c r="BQ43" i="39" s="1"/>
  <c r="BC43" i="39"/>
  <c r="BB43" i="39"/>
  <c r="BD43" i="39" s="1"/>
  <c r="BA43" i="39"/>
  <c r="AZ43" i="39"/>
  <c r="AY43" i="39"/>
  <c r="BP42" i="39"/>
  <c r="BO42" i="39"/>
  <c r="BN42" i="39"/>
  <c r="BM42" i="39"/>
  <c r="BL42" i="39"/>
  <c r="BQ42" i="39" s="1"/>
  <c r="BC42" i="39"/>
  <c r="BB42" i="39"/>
  <c r="BD42" i="39" s="1"/>
  <c r="BA42" i="39"/>
  <c r="AZ42" i="39"/>
  <c r="AY42" i="39"/>
  <c r="BP41" i="39"/>
  <c r="BO41" i="39"/>
  <c r="BN41" i="39"/>
  <c r="BQ41" i="39" s="1"/>
  <c r="BM41" i="39"/>
  <c r="BL41" i="39"/>
  <c r="BC41" i="39"/>
  <c r="BB41" i="39"/>
  <c r="BD41" i="39" s="1"/>
  <c r="BA41" i="39"/>
  <c r="AZ41" i="39"/>
  <c r="AY41" i="39"/>
  <c r="BP40" i="39"/>
  <c r="BO40" i="39"/>
  <c r="BN40" i="39"/>
  <c r="BM40" i="39"/>
  <c r="BL40" i="39"/>
  <c r="BQ40" i="39" s="1"/>
  <c r="BD40" i="39"/>
  <c r="BC40" i="39"/>
  <c r="BB40" i="39"/>
  <c r="BA40" i="39"/>
  <c r="AZ40" i="39"/>
  <c r="AY40" i="39"/>
  <c r="BP39" i="39"/>
  <c r="BO39" i="39"/>
  <c r="BN39" i="39"/>
  <c r="BM39" i="39"/>
  <c r="BL39" i="39"/>
  <c r="BQ39" i="39" s="1"/>
  <c r="BD39" i="39"/>
  <c r="BB39" i="39"/>
  <c r="BA39" i="39"/>
  <c r="AZ39" i="39"/>
  <c r="BC39" i="39" s="1"/>
  <c r="AY39" i="39"/>
  <c r="BP38" i="39"/>
  <c r="BO38" i="39"/>
  <c r="BN38" i="39"/>
  <c r="BM38" i="39"/>
  <c r="BL38" i="39"/>
  <c r="BQ38" i="39" s="1"/>
  <c r="BD38" i="39"/>
  <c r="BB38" i="39"/>
  <c r="BA38" i="39"/>
  <c r="AZ38" i="39"/>
  <c r="BC38" i="39" s="1"/>
  <c r="AY38" i="39"/>
  <c r="BP37" i="39"/>
  <c r="BO37" i="39"/>
  <c r="BN37" i="39"/>
  <c r="BM37" i="39"/>
  <c r="BL37" i="39"/>
  <c r="BQ37" i="39" s="1"/>
  <c r="BD37" i="39"/>
  <c r="BB37" i="39"/>
  <c r="BA37" i="39"/>
  <c r="AZ37" i="39"/>
  <c r="BC37" i="39" s="1"/>
  <c r="AY37" i="39"/>
  <c r="BP36" i="39"/>
  <c r="BO36" i="39"/>
  <c r="BN36" i="39"/>
  <c r="BM36" i="39"/>
  <c r="BL36" i="39"/>
  <c r="BQ36" i="39" s="1"/>
  <c r="AO36" i="39" s="1"/>
  <c r="BB36" i="39"/>
  <c r="BD36" i="39" s="1"/>
  <c r="BA36" i="39"/>
  <c r="AZ36" i="39"/>
  <c r="BC36" i="39" s="1"/>
  <c r="AY36" i="39"/>
  <c r="AR36" i="39"/>
  <c r="BP35" i="39"/>
  <c r="BQ35" i="39" s="1"/>
  <c r="BO35" i="39"/>
  <c r="BN35" i="39"/>
  <c r="BM35" i="39"/>
  <c r="BL35" i="39"/>
  <c r="BD35" i="39"/>
  <c r="BB35" i="39"/>
  <c r="BA35" i="39"/>
  <c r="AZ35" i="39"/>
  <c r="BC35" i="39" s="1"/>
  <c r="AY35" i="39"/>
  <c r="BP34" i="39"/>
  <c r="BO34" i="39"/>
  <c r="BN34" i="39"/>
  <c r="BM34" i="39"/>
  <c r="BL34" i="39"/>
  <c r="BQ34" i="39" s="1"/>
  <c r="AO34" i="39" s="1"/>
  <c r="BB34" i="39"/>
  <c r="BD34" i="39" s="1"/>
  <c r="BA34" i="39"/>
  <c r="AZ34" i="39"/>
  <c r="BC34" i="39" s="1"/>
  <c r="AY34" i="39"/>
  <c r="AR34" i="39"/>
  <c r="BP33" i="39"/>
  <c r="BO33" i="39"/>
  <c r="BN33" i="39"/>
  <c r="BM33" i="39"/>
  <c r="BL33" i="39"/>
  <c r="BQ33" i="39" s="1"/>
  <c r="BD33" i="39"/>
  <c r="BB33" i="39"/>
  <c r="BA33" i="39"/>
  <c r="AZ33" i="39"/>
  <c r="BC33" i="39" s="1"/>
  <c r="AY33" i="39"/>
  <c r="AR33" i="39"/>
  <c r="AO33" i="39"/>
  <c r="BP32" i="39"/>
  <c r="BO32" i="39"/>
  <c r="BN32" i="39"/>
  <c r="BM32" i="39"/>
  <c r="BL32" i="39"/>
  <c r="BQ32" i="39" s="1"/>
  <c r="AO32" i="39" s="1"/>
  <c r="BB32" i="39"/>
  <c r="BD32" i="39" s="1"/>
  <c r="BA32" i="39"/>
  <c r="AZ32" i="39"/>
  <c r="BC32" i="39" s="1"/>
  <c r="AY32" i="39"/>
  <c r="BP31" i="39"/>
  <c r="BO31" i="39"/>
  <c r="BN31" i="39"/>
  <c r="BM31" i="39"/>
  <c r="BL31" i="39"/>
  <c r="BQ31" i="39" s="1"/>
  <c r="BD31" i="39"/>
  <c r="BB31" i="39"/>
  <c r="BA31" i="39"/>
  <c r="AZ31" i="39"/>
  <c r="BC31" i="39" s="1"/>
  <c r="AY31" i="39"/>
  <c r="BP30" i="39"/>
  <c r="BO30" i="39"/>
  <c r="BN30" i="39"/>
  <c r="BM30" i="39"/>
  <c r="BL30" i="39"/>
  <c r="BQ30" i="39" s="1"/>
  <c r="BD30" i="39"/>
  <c r="BB30" i="39"/>
  <c r="BA30" i="39"/>
  <c r="AZ30" i="39"/>
  <c r="BC30" i="39" s="1"/>
  <c r="AY30" i="39"/>
  <c r="BP29" i="39"/>
  <c r="BO29" i="39"/>
  <c r="BN29" i="39"/>
  <c r="BM29" i="39"/>
  <c r="BL29" i="39"/>
  <c r="BQ29" i="39" s="1"/>
  <c r="BD29" i="39"/>
  <c r="BB29" i="39"/>
  <c r="BA29" i="39"/>
  <c r="AZ29" i="39"/>
  <c r="BC29" i="39" s="1"/>
  <c r="AY29" i="39"/>
  <c r="BP28" i="39"/>
  <c r="BO28" i="39"/>
  <c r="BN28" i="39"/>
  <c r="BM28" i="39"/>
  <c r="BL28" i="39"/>
  <c r="BQ28" i="39" s="1"/>
  <c r="BD28" i="39"/>
  <c r="BB28" i="39"/>
  <c r="BA28" i="39"/>
  <c r="AZ28" i="39"/>
  <c r="BC28" i="39" s="1"/>
  <c r="AY28" i="39"/>
  <c r="BP27" i="39"/>
  <c r="BO27" i="39"/>
  <c r="BN27" i="39"/>
  <c r="BM27" i="39"/>
  <c r="BL27" i="39"/>
  <c r="BQ27" i="39" s="1"/>
  <c r="AR27" i="39" s="1"/>
  <c r="BD27" i="39"/>
  <c r="BB27" i="39"/>
  <c r="BA27" i="39"/>
  <c r="AZ27" i="39"/>
  <c r="BC27" i="39" s="1"/>
  <c r="AY27" i="39"/>
  <c r="AO27" i="39"/>
  <c r="BP26" i="39"/>
  <c r="BO26" i="39"/>
  <c r="BN26" i="39"/>
  <c r="BM26" i="39"/>
  <c r="BL26" i="39"/>
  <c r="BQ26" i="39" s="1"/>
  <c r="BD26" i="39"/>
  <c r="BC26" i="39"/>
  <c r="BB26" i="39"/>
  <c r="BA26" i="39"/>
  <c r="AZ26" i="39"/>
  <c r="AY26" i="39"/>
  <c r="BP25" i="39"/>
  <c r="BO25" i="39"/>
  <c r="BN25" i="39"/>
  <c r="BQ25" i="39" s="1"/>
  <c r="BM25" i="39"/>
  <c r="BL25" i="39"/>
  <c r="BC25" i="39"/>
  <c r="BB25" i="39"/>
  <c r="BD25" i="39" s="1"/>
  <c r="BA25" i="39"/>
  <c r="AZ25" i="39"/>
  <c r="AY25" i="39"/>
  <c r="BP24" i="39"/>
  <c r="BO24" i="39"/>
  <c r="BN24" i="39"/>
  <c r="BM24" i="39"/>
  <c r="BL24" i="39"/>
  <c r="BQ24" i="39" s="1"/>
  <c r="BD24" i="39"/>
  <c r="BC24" i="39"/>
  <c r="BB24" i="39"/>
  <c r="BA24" i="39"/>
  <c r="AZ24" i="39"/>
  <c r="AY24" i="39"/>
  <c r="BP23" i="39"/>
  <c r="BO23" i="39"/>
  <c r="BN23" i="39"/>
  <c r="BM23" i="39"/>
  <c r="BL23" i="39"/>
  <c r="BB23" i="39"/>
  <c r="BD23" i="39" s="1"/>
  <c r="BA23" i="39"/>
  <c r="AZ23" i="39"/>
  <c r="AY23" i="39"/>
  <c r="BP22" i="39"/>
  <c r="BO22" i="39"/>
  <c r="BN22" i="39"/>
  <c r="BM22" i="39"/>
  <c r="BL22" i="39"/>
  <c r="BB22" i="39"/>
  <c r="BD22" i="39" s="1"/>
  <c r="BA22" i="39"/>
  <c r="AZ22" i="39"/>
  <c r="BC22" i="39" s="1"/>
  <c r="AY22" i="39"/>
  <c r="BP21" i="39"/>
  <c r="BO21" i="39"/>
  <c r="BN21" i="39"/>
  <c r="BM21" i="39"/>
  <c r="BL21" i="39"/>
  <c r="BB21" i="39"/>
  <c r="BD21" i="39" s="1"/>
  <c r="BA21" i="39"/>
  <c r="AZ21" i="39"/>
  <c r="AY21" i="39"/>
  <c r="AB21" i="39"/>
  <c r="AB22" i="39" s="1"/>
  <c r="AB23" i="39" s="1"/>
  <c r="AB24" i="39" s="1"/>
  <c r="AB25" i="39" s="1"/>
  <c r="AB28" i="39" s="1"/>
  <c r="AB29" i="39" s="1"/>
  <c r="AB30" i="39" s="1"/>
  <c r="AB31" i="39" s="1"/>
  <c r="AB32" i="39" s="1"/>
  <c r="AB33" i="39" s="1"/>
  <c r="AB34" i="39" s="1"/>
  <c r="AB35" i="39" s="1"/>
  <c r="AB36" i="39" s="1"/>
  <c r="AB37" i="39" s="1"/>
  <c r="AB38" i="39" s="1"/>
  <c r="AB39" i="39" s="1"/>
  <c r="AB40" i="39" s="1"/>
  <c r="AB41" i="39" s="1"/>
  <c r="AB42" i="39" s="1"/>
  <c r="AB43" i="39" s="1"/>
  <c r="AB44" i="39" s="1"/>
  <c r="AB45" i="39" s="1"/>
  <c r="AB46" i="39" s="1"/>
  <c r="BP20" i="39"/>
  <c r="BO20" i="39"/>
  <c r="BN20" i="39"/>
  <c r="BM20" i="39"/>
  <c r="BL20" i="39"/>
  <c r="BB20" i="39"/>
  <c r="BD20" i="39" s="1"/>
  <c r="BA20" i="39"/>
  <c r="AZ20" i="39"/>
  <c r="AY20" i="39"/>
  <c r="BP19" i="39"/>
  <c r="BO19" i="39"/>
  <c r="BN19" i="39"/>
  <c r="BM19" i="39"/>
  <c r="BL19" i="39"/>
  <c r="BB19" i="39"/>
  <c r="BD19" i="39" s="1"/>
  <c r="BA19" i="39"/>
  <c r="AZ19" i="39"/>
  <c r="AY19" i="39"/>
  <c r="AB19" i="39"/>
  <c r="AB20" i="39" s="1"/>
  <c r="BP18" i="39"/>
  <c r="BO18" i="39"/>
  <c r="BN18" i="39"/>
  <c r="BM18" i="39"/>
  <c r="BL18" i="39"/>
  <c r="BB18" i="39"/>
  <c r="BD18" i="39" s="1"/>
  <c r="BA18" i="39"/>
  <c r="AZ18" i="39"/>
  <c r="AY18" i="39"/>
  <c r="BP17" i="39"/>
  <c r="BO17" i="39"/>
  <c r="BN17" i="39"/>
  <c r="BM17" i="39"/>
  <c r="BL17" i="39"/>
  <c r="BB17" i="39"/>
  <c r="BD17" i="39" s="1"/>
  <c r="BA17" i="39"/>
  <c r="AZ17" i="39"/>
  <c r="BC17" i="39" s="1"/>
  <c r="AY17" i="39"/>
  <c r="BP16" i="39"/>
  <c r="BO16" i="39"/>
  <c r="BN16" i="39"/>
  <c r="BM16" i="39"/>
  <c r="BL16" i="39"/>
  <c r="BD16" i="39"/>
  <c r="BB16" i="39"/>
  <c r="BA16" i="39"/>
  <c r="AZ16" i="39"/>
  <c r="AY16" i="39"/>
  <c r="BP15" i="39"/>
  <c r="BO15" i="39"/>
  <c r="BN15" i="39"/>
  <c r="BM15" i="39"/>
  <c r="BL15" i="39"/>
  <c r="BB15" i="39"/>
  <c r="BD15" i="39" s="1"/>
  <c r="BA15" i="39"/>
  <c r="AZ15" i="39"/>
  <c r="AY15" i="39"/>
  <c r="AP15" i="39"/>
  <c r="AP16" i="39" s="1"/>
  <c r="AP17" i="39" s="1"/>
  <c r="AP18" i="39" s="1"/>
  <c r="AP19" i="39" s="1"/>
  <c r="AP20" i="39" s="1"/>
  <c r="AP21" i="39" s="1"/>
  <c r="AP22" i="39" s="1"/>
  <c r="AP23" i="39" s="1"/>
  <c r="AP24" i="39" s="1"/>
  <c r="AP25" i="39" s="1"/>
  <c r="AP26" i="39" s="1"/>
  <c r="AP27" i="39" s="1"/>
  <c r="AP28" i="39" s="1"/>
  <c r="AP29" i="39" s="1"/>
  <c r="AP30" i="39" s="1"/>
  <c r="AP31" i="39" s="1"/>
  <c r="AP32" i="39" s="1"/>
  <c r="AP33" i="39" s="1"/>
  <c r="AP34" i="39" s="1"/>
  <c r="AP35" i="39" s="1"/>
  <c r="AP36" i="39" s="1"/>
  <c r="AP37" i="39" s="1"/>
  <c r="AP38" i="39" s="1"/>
  <c r="AP39" i="39" s="1"/>
  <c r="AP40" i="39" s="1"/>
  <c r="AP41" i="39" s="1"/>
  <c r="AP42" i="39" s="1"/>
  <c r="AP43" i="39" s="1"/>
  <c r="AP44" i="39" s="1"/>
  <c r="AP45" i="39" s="1"/>
  <c r="AP46" i="39" s="1"/>
  <c r="AB15" i="39"/>
  <c r="AB16" i="39" s="1"/>
  <c r="AB17" i="39" s="1"/>
  <c r="BP14" i="39"/>
  <c r="BO14" i="39"/>
  <c r="BN14" i="39"/>
  <c r="BM14" i="39"/>
  <c r="BL14" i="39"/>
  <c r="BB14" i="39"/>
  <c r="BD14" i="39" s="1"/>
  <c r="BA14" i="39"/>
  <c r="AZ14" i="39"/>
  <c r="BC14" i="39" s="1"/>
  <c r="AY14" i="39"/>
  <c r="AP14" i="39"/>
  <c r="AB14" i="39"/>
  <c r="BP13" i="39"/>
  <c r="BO13" i="39"/>
  <c r="BN13" i="39"/>
  <c r="BM13" i="39"/>
  <c r="BL13" i="39"/>
  <c r="BB13" i="39"/>
  <c r="BD13" i="39" s="1"/>
  <c r="BA13" i="39"/>
  <c r="AZ13" i="39"/>
  <c r="AY13" i="39"/>
  <c r="BP11" i="39"/>
  <c r="BO11" i="39"/>
  <c r="BN11" i="39"/>
  <c r="BM11" i="39"/>
  <c r="BL11" i="39"/>
  <c r="BP10" i="39"/>
  <c r="BO10" i="39"/>
  <c r="BN10" i="39"/>
  <c r="BM10" i="39"/>
  <c r="BL10" i="39"/>
  <c r="Z8" i="39"/>
  <c r="J8" i="39"/>
  <c r="AC7" i="39"/>
  <c r="F25" i="39" s="1"/>
  <c r="G7" i="39"/>
  <c r="F10" i="39" s="1"/>
  <c r="D6" i="39"/>
  <c r="D5" i="39"/>
  <c r="G4" i="39"/>
  <c r="K4" i="39" s="1"/>
  <c r="D3" i="39"/>
  <c r="BC23" i="39" l="1"/>
  <c r="BQ22" i="39"/>
  <c r="BQ21" i="39"/>
  <c r="BC21" i="39"/>
  <c r="BQ20" i="39"/>
  <c r="BC19" i="39"/>
  <c r="BC18" i="39"/>
  <c r="BQ17" i="39"/>
  <c r="BC16" i="39"/>
  <c r="BQ14" i="39"/>
  <c r="BC13" i="39"/>
  <c r="BQ13" i="39"/>
  <c r="C454" i="24"/>
  <c r="A455" i="24"/>
  <c r="C443" i="24"/>
  <c r="A444" i="24"/>
  <c r="C442" i="24"/>
  <c r="C453" i="24"/>
  <c r="BQ19" i="39"/>
  <c r="BQ16" i="39"/>
  <c r="BQ15" i="39"/>
  <c r="BC15" i="39"/>
  <c r="BQ18" i="39"/>
  <c r="BC20" i="39"/>
  <c r="BQ23" i="39"/>
  <c r="E39" i="39"/>
  <c r="E36" i="39"/>
  <c r="B30" i="39"/>
  <c r="B36" i="39"/>
  <c r="E31" i="39"/>
  <c r="B38" i="39"/>
  <c r="E37" i="39"/>
  <c r="AR35" i="39"/>
  <c r="AO35" i="39"/>
  <c r="AR29" i="39"/>
  <c r="AO29" i="39"/>
  <c r="AR45" i="39"/>
  <c r="AO45" i="39"/>
  <c r="E23" i="39"/>
  <c r="E21" i="39"/>
  <c r="E19" i="39"/>
  <c r="B17" i="39"/>
  <c r="B15" i="39"/>
  <c r="B23" i="39"/>
  <c r="B21" i="39"/>
  <c r="B19" i="39"/>
  <c r="E20" i="39"/>
  <c r="E15" i="39"/>
  <c r="B20" i="39"/>
  <c r="I24" i="39"/>
  <c r="B16" i="39"/>
  <c r="E14" i="39"/>
  <c r="B14" i="39"/>
  <c r="E18" i="39"/>
  <c r="B18" i="39"/>
  <c r="N24" i="39"/>
  <c r="E17" i="39"/>
  <c r="E16" i="39"/>
  <c r="E22" i="39"/>
  <c r="B22" i="39"/>
  <c r="AR43" i="39"/>
  <c r="AO43" i="39"/>
  <c r="AR37" i="39"/>
  <c r="AO37" i="39"/>
  <c r="AR40" i="39"/>
  <c r="AO40" i="39"/>
  <c r="AR26" i="39"/>
  <c r="AO26" i="39"/>
  <c r="AR42" i="39"/>
  <c r="AO42" i="39"/>
  <c r="AR39" i="39"/>
  <c r="AO39" i="39"/>
  <c r="AR28" i="39"/>
  <c r="AO28" i="39"/>
  <c r="AR31" i="39"/>
  <c r="AO31" i="39"/>
  <c r="AR44" i="39"/>
  <c r="AO44" i="39"/>
  <c r="AO25" i="39"/>
  <c r="AR25" i="39"/>
  <c r="AO38" i="39"/>
  <c r="AR38" i="39"/>
  <c r="AR41" i="39"/>
  <c r="AO41" i="39"/>
  <c r="AR24" i="39"/>
  <c r="AO24" i="39"/>
  <c r="AO30" i="39"/>
  <c r="AR30" i="39"/>
  <c r="AO46" i="39"/>
  <c r="AR46" i="39"/>
  <c r="AR14" i="39"/>
  <c r="B39" i="39"/>
  <c r="B37" i="39"/>
  <c r="B35" i="39"/>
  <c r="B33" i="39"/>
  <c r="B31" i="39"/>
  <c r="AO14" i="39"/>
  <c r="E33" i="39"/>
  <c r="I40" i="39"/>
  <c r="E32" i="39"/>
  <c r="N40" i="39"/>
  <c r="AR32" i="39"/>
  <c r="E30" i="39"/>
  <c r="E38" i="39"/>
  <c r="B32" i="39"/>
  <c r="B34" i="39"/>
  <c r="E35" i="39"/>
  <c r="E34" i="39"/>
  <c r="D5" i="28"/>
  <c r="Z8" i="28"/>
  <c r="J8" i="28"/>
  <c r="AC7" i="28"/>
  <c r="G7" i="28"/>
  <c r="D3" i="28"/>
  <c r="G4" i="28"/>
  <c r="K4" i="28" s="1"/>
  <c r="D5" i="35"/>
  <c r="D5" i="34"/>
  <c r="D5" i="33"/>
  <c r="D5" i="32"/>
  <c r="AO15" i="39" l="1"/>
  <c r="AR13" i="39"/>
  <c r="AO13" i="39"/>
  <c r="AS52" i="39" s="1"/>
  <c r="AT32" i="39"/>
  <c r="AU32" i="39" s="1"/>
  <c r="B455" i="24"/>
  <c r="AT16" i="39"/>
  <c r="AU16" i="39" s="1"/>
  <c r="B444" i="24"/>
  <c r="AT20" i="39"/>
  <c r="AU20" i="39" s="1"/>
  <c r="B448" i="24"/>
  <c r="AT31" i="39"/>
  <c r="AU31" i="39" s="1"/>
  <c r="B454" i="24"/>
  <c r="AT33" i="39"/>
  <c r="V33" i="39" s="1"/>
  <c r="D456" i="24" s="1"/>
  <c r="G456" i="24" s="1"/>
  <c r="B456" i="24"/>
  <c r="AT35" i="39"/>
  <c r="AU35" i="39" s="1"/>
  <c r="B458" i="24"/>
  <c r="AT19" i="39"/>
  <c r="V19" i="39" s="1"/>
  <c r="D447" i="24" s="1"/>
  <c r="G447" i="24" s="1"/>
  <c r="B447" i="24"/>
  <c r="AT38" i="39"/>
  <c r="V38" i="39" s="1"/>
  <c r="D461" i="24" s="1"/>
  <c r="G461" i="24" s="1"/>
  <c r="B461" i="24"/>
  <c r="AT37" i="39"/>
  <c r="AU37" i="39" s="1"/>
  <c r="B460" i="24"/>
  <c r="AT21" i="39"/>
  <c r="V21" i="39" s="1"/>
  <c r="D449" i="24" s="1"/>
  <c r="G449" i="24" s="1"/>
  <c r="B449" i="24"/>
  <c r="AT22" i="39"/>
  <c r="V22" i="39" s="1"/>
  <c r="D450" i="24" s="1"/>
  <c r="G450" i="24" s="1"/>
  <c r="B450" i="24"/>
  <c r="AT23" i="39"/>
  <c r="AU23" i="39" s="1"/>
  <c r="B451" i="24"/>
  <c r="AT36" i="39"/>
  <c r="V36" i="39" s="1"/>
  <c r="D459" i="24" s="1"/>
  <c r="G459" i="24" s="1"/>
  <c r="B459" i="24"/>
  <c r="AT15" i="39"/>
  <c r="AU15" i="39" s="1"/>
  <c r="B443" i="24"/>
  <c r="F443" i="24" s="1"/>
  <c r="AT30" i="39"/>
  <c r="AU30" i="39" s="1"/>
  <c r="Y30" i="39" s="1"/>
  <c r="B453" i="24"/>
  <c r="F453" i="24" s="1"/>
  <c r="AT17" i="39"/>
  <c r="AU17" i="39" s="1"/>
  <c r="B445" i="24"/>
  <c r="AT39" i="39"/>
  <c r="AU39" i="39" s="1"/>
  <c r="B462" i="24"/>
  <c r="AT34" i="39"/>
  <c r="AU34" i="39" s="1"/>
  <c r="B457" i="24"/>
  <c r="AT18" i="39"/>
  <c r="V18" i="39" s="1"/>
  <c r="D446" i="24" s="1"/>
  <c r="G446" i="24" s="1"/>
  <c r="B446" i="24"/>
  <c r="AT14" i="39"/>
  <c r="V14" i="39" s="1"/>
  <c r="D442" i="24" s="1"/>
  <c r="G442" i="24" s="1"/>
  <c r="B442" i="24"/>
  <c r="F442" i="24" s="1"/>
  <c r="F454" i="24"/>
  <c r="A445" i="24"/>
  <c r="C444" i="24"/>
  <c r="A456" i="24"/>
  <c r="C455" i="24"/>
  <c r="AO16" i="39"/>
  <c r="AO17" i="39" s="1"/>
  <c r="AO18" i="39" s="1"/>
  <c r="AO19" i="39" s="1"/>
  <c r="AO20" i="39" s="1"/>
  <c r="AO21" i="39" s="1"/>
  <c r="AO22" i="39" s="1"/>
  <c r="AO23" i="39" s="1"/>
  <c r="AR15" i="39"/>
  <c r="AR16" i="39" s="1"/>
  <c r="AR17" i="39" s="1"/>
  <c r="AR18" i="39" s="1"/>
  <c r="AR19" i="39" s="1"/>
  <c r="AR20" i="39" s="1"/>
  <c r="AR21" i="39" s="1"/>
  <c r="AR22" i="39" s="1"/>
  <c r="AR23" i="39" s="1"/>
  <c r="F331" i="24"/>
  <c r="G331" i="24"/>
  <c r="F342" i="24"/>
  <c r="G342" i="24"/>
  <c r="F353" i="24"/>
  <c r="G353" i="24"/>
  <c r="F364" i="24"/>
  <c r="G364" i="24"/>
  <c r="F375" i="24"/>
  <c r="G375" i="24"/>
  <c r="F386" i="24"/>
  <c r="G386" i="24"/>
  <c r="F397" i="24"/>
  <c r="G397" i="24"/>
  <c r="F408" i="24"/>
  <c r="G408" i="24"/>
  <c r="F419" i="24"/>
  <c r="G419" i="24"/>
  <c r="F430" i="24"/>
  <c r="G430" i="24"/>
  <c r="A431" i="24"/>
  <c r="A420" i="24"/>
  <c r="A421" i="24" s="1"/>
  <c r="A409" i="24"/>
  <c r="C409" i="24" s="1"/>
  <c r="A398" i="24"/>
  <c r="A387" i="24"/>
  <c r="A388" i="24" s="1"/>
  <c r="C388" i="24" s="1"/>
  <c r="A376" i="24"/>
  <c r="A377" i="24" s="1"/>
  <c r="A365" i="24"/>
  <c r="A366" i="24" s="1"/>
  <c r="C366" i="24" s="1"/>
  <c r="A354" i="24"/>
  <c r="A343" i="24"/>
  <c r="A344" i="24" s="1"/>
  <c r="A345" i="24" s="1"/>
  <c r="A332" i="24"/>
  <c r="A333" i="24" s="1"/>
  <c r="AO52" i="39" l="1"/>
  <c r="J26" i="22" s="1"/>
  <c r="F455" i="24"/>
  <c r="V23" i="39"/>
  <c r="D451" i="24" s="1"/>
  <c r="G451" i="24" s="1"/>
  <c r="F444" i="24"/>
  <c r="V32" i="39"/>
  <c r="D455" i="24" s="1"/>
  <c r="G455" i="24" s="1"/>
  <c r="V31" i="39"/>
  <c r="D454" i="24" s="1"/>
  <c r="G454" i="24" s="1"/>
  <c r="AU33" i="39"/>
  <c r="Y33" i="39" s="1"/>
  <c r="V20" i="39"/>
  <c r="D448" i="24" s="1"/>
  <c r="G448" i="24" s="1"/>
  <c r="AU22" i="39"/>
  <c r="W22" i="39" s="1"/>
  <c r="AU18" i="39"/>
  <c r="Y18" i="39" s="1"/>
  <c r="AU36" i="39"/>
  <c r="Y36" i="39" s="1"/>
  <c r="AU14" i="39"/>
  <c r="X14" i="39" s="1"/>
  <c r="V39" i="39"/>
  <c r="D462" i="24" s="1"/>
  <c r="G462" i="24" s="1"/>
  <c r="V37" i="39"/>
  <c r="D460" i="24" s="1"/>
  <c r="G460" i="24" s="1"/>
  <c r="V35" i="39"/>
  <c r="D458" i="24" s="1"/>
  <c r="G458" i="24" s="1"/>
  <c r="V34" i="39"/>
  <c r="D457" i="24" s="1"/>
  <c r="G457" i="24" s="1"/>
  <c r="AU21" i="39"/>
  <c r="X21" i="39" s="1"/>
  <c r="V16" i="39"/>
  <c r="D444" i="24" s="1"/>
  <c r="G444" i="24" s="1"/>
  <c r="AU19" i="39"/>
  <c r="Y19" i="39" s="1"/>
  <c r="X30" i="39"/>
  <c r="V17" i="39"/>
  <c r="D445" i="24" s="1"/>
  <c r="G445" i="24" s="1"/>
  <c r="W30" i="39"/>
  <c r="V15" i="39"/>
  <c r="D443" i="24" s="1"/>
  <c r="G443" i="24" s="1"/>
  <c r="AU38" i="39"/>
  <c r="Y38" i="39" s="1"/>
  <c r="V30" i="39"/>
  <c r="D453" i="24" s="1"/>
  <c r="G453" i="24" s="1"/>
  <c r="A457" i="24"/>
  <c r="C456" i="24"/>
  <c r="F456" i="24" s="1"/>
  <c r="A446" i="24"/>
  <c r="C445" i="24"/>
  <c r="F445" i="24" s="1"/>
  <c r="W32" i="39"/>
  <c r="Y32" i="39"/>
  <c r="X32" i="39"/>
  <c r="Y23" i="39"/>
  <c r="X23" i="39"/>
  <c r="W23" i="39"/>
  <c r="Y35" i="39"/>
  <c r="W35" i="39"/>
  <c r="X35" i="39"/>
  <c r="Y17" i="39"/>
  <c r="X17" i="39"/>
  <c r="W17" i="39"/>
  <c r="W34" i="39"/>
  <c r="Y34" i="39"/>
  <c r="X34" i="39"/>
  <c r="Y16" i="39"/>
  <c r="X16" i="39"/>
  <c r="W16" i="39"/>
  <c r="AR52" i="39"/>
  <c r="I47" i="39" s="1"/>
  <c r="Y37" i="39"/>
  <c r="W37" i="39"/>
  <c r="X37" i="39"/>
  <c r="Y31" i="39"/>
  <c r="X31" i="39"/>
  <c r="W31" i="39"/>
  <c r="Y39" i="39"/>
  <c r="X39" i="39"/>
  <c r="W39" i="39"/>
  <c r="Y20" i="39"/>
  <c r="X20" i="39"/>
  <c r="W20" i="39"/>
  <c r="Y15" i="39"/>
  <c r="W15" i="39"/>
  <c r="X15" i="39"/>
  <c r="C365" i="24"/>
  <c r="C376" i="24"/>
  <c r="C332" i="24"/>
  <c r="A389" i="24"/>
  <c r="A390" i="24" s="1"/>
  <c r="A334" i="24"/>
  <c r="C334" i="24" s="1"/>
  <c r="C333" i="24"/>
  <c r="C387" i="24"/>
  <c r="C420" i="24"/>
  <c r="A422" i="24"/>
  <c r="C421" i="24"/>
  <c r="A346" i="24"/>
  <c r="C345" i="24"/>
  <c r="A378" i="24"/>
  <c r="C377" i="24"/>
  <c r="A410" i="24"/>
  <c r="C354" i="24"/>
  <c r="A355" i="24"/>
  <c r="C398" i="24"/>
  <c r="C344" i="24"/>
  <c r="A367" i="24"/>
  <c r="A399" i="24"/>
  <c r="C343" i="24"/>
  <c r="A432" i="24"/>
  <c r="C431" i="24"/>
  <c r="A10" i="26"/>
  <c r="A31" i="26" s="1"/>
  <c r="A9" i="26"/>
  <c r="A30" i="26" s="1"/>
  <c r="BP46" i="32"/>
  <c r="BO46" i="32"/>
  <c r="BN46" i="32"/>
  <c r="BM46" i="32"/>
  <c r="BL46" i="32"/>
  <c r="BQ46" i="32" s="1"/>
  <c r="BC46" i="32"/>
  <c r="BB46" i="32"/>
  <c r="BD46" i="32" s="1"/>
  <c r="BA46" i="32"/>
  <c r="AZ46" i="32"/>
  <c r="AY46" i="32"/>
  <c r="BP45" i="32"/>
  <c r="BO45" i="32"/>
  <c r="BN45" i="32"/>
  <c r="BM45" i="32"/>
  <c r="BL45" i="32"/>
  <c r="BQ45" i="32" s="1"/>
  <c r="BC45" i="32"/>
  <c r="BB45" i="32"/>
  <c r="BD45" i="32" s="1"/>
  <c r="BA45" i="32"/>
  <c r="AZ45" i="32"/>
  <c r="AY45" i="32"/>
  <c r="BP44" i="32"/>
  <c r="BO44" i="32"/>
  <c r="BN44" i="32"/>
  <c r="BM44" i="32"/>
  <c r="BL44" i="32"/>
  <c r="BQ44" i="32" s="1"/>
  <c r="BC44" i="32"/>
  <c r="BB44" i="32"/>
  <c r="BD44" i="32" s="1"/>
  <c r="BA44" i="32"/>
  <c r="AZ44" i="32"/>
  <c r="AY44" i="32"/>
  <c r="BP43" i="32"/>
  <c r="BO43" i="32"/>
  <c r="BN43" i="32"/>
  <c r="BM43" i="32"/>
  <c r="BL43" i="32"/>
  <c r="BQ43" i="32" s="1"/>
  <c r="BC43" i="32"/>
  <c r="BB43" i="32"/>
  <c r="BD43" i="32" s="1"/>
  <c r="BA43" i="32"/>
  <c r="AZ43" i="32"/>
  <c r="AY43" i="32"/>
  <c r="BP42" i="32"/>
  <c r="BO42" i="32"/>
  <c r="BN42" i="32"/>
  <c r="BM42" i="32"/>
  <c r="BL42" i="32"/>
  <c r="BQ42" i="32" s="1"/>
  <c r="BC42" i="32"/>
  <c r="BB42" i="32"/>
  <c r="BD42" i="32" s="1"/>
  <c r="BA42" i="32"/>
  <c r="AZ42" i="32"/>
  <c r="AY42" i="32"/>
  <c r="BP41" i="32"/>
  <c r="BO41" i="32"/>
  <c r="BN41" i="32"/>
  <c r="BM41" i="32"/>
  <c r="BL41" i="32"/>
  <c r="BQ41" i="32" s="1"/>
  <c r="BC41" i="32"/>
  <c r="BB41" i="32"/>
  <c r="BD41" i="32" s="1"/>
  <c r="BA41" i="32"/>
  <c r="AZ41" i="32"/>
  <c r="AY41" i="32"/>
  <c r="BP40" i="32"/>
  <c r="BO40" i="32"/>
  <c r="BN40" i="32"/>
  <c r="BM40" i="32"/>
  <c r="BL40" i="32"/>
  <c r="BQ40" i="32" s="1"/>
  <c r="BC40" i="32"/>
  <c r="BB40" i="32"/>
  <c r="BD40" i="32" s="1"/>
  <c r="BA40" i="32"/>
  <c r="AZ40" i="32"/>
  <c r="AY40" i="32"/>
  <c r="BP39" i="32"/>
  <c r="BO39" i="32"/>
  <c r="BN39" i="32"/>
  <c r="BM39" i="32"/>
  <c r="BL39" i="32"/>
  <c r="BQ39" i="32" s="1"/>
  <c r="BD39" i="32"/>
  <c r="BB39" i="32"/>
  <c r="BA39" i="32"/>
  <c r="BC39" i="32" s="1"/>
  <c r="AZ39" i="32"/>
  <c r="AY39" i="32"/>
  <c r="BP38" i="32"/>
  <c r="BO38" i="32"/>
  <c r="BN38" i="32"/>
  <c r="BM38" i="32"/>
  <c r="BL38" i="32"/>
  <c r="BQ38" i="32" s="1"/>
  <c r="BB38" i="32"/>
  <c r="BD38" i="32" s="1"/>
  <c r="BA38" i="32"/>
  <c r="AZ38" i="32"/>
  <c r="BC38" i="32" s="1"/>
  <c r="AY38" i="32"/>
  <c r="BP37" i="32"/>
  <c r="BO37" i="32"/>
  <c r="BN37" i="32"/>
  <c r="BM37" i="32"/>
  <c r="BL37" i="32"/>
  <c r="BQ37" i="32" s="1"/>
  <c r="BD37" i="32"/>
  <c r="BB37" i="32"/>
  <c r="BA37" i="32"/>
  <c r="BC37" i="32" s="1"/>
  <c r="AZ37" i="32"/>
  <c r="AY37" i="32"/>
  <c r="BP36" i="32"/>
  <c r="BO36" i="32"/>
  <c r="BN36" i="32"/>
  <c r="BM36" i="32"/>
  <c r="BL36" i="32"/>
  <c r="BQ36" i="32" s="1"/>
  <c r="BB36" i="32"/>
  <c r="BD36" i="32" s="1"/>
  <c r="BA36" i="32"/>
  <c r="AZ36" i="32"/>
  <c r="BC36" i="32" s="1"/>
  <c r="AY36" i="32"/>
  <c r="BP35" i="32"/>
  <c r="BO35" i="32"/>
  <c r="BN35" i="32"/>
  <c r="BM35" i="32"/>
  <c r="BL35" i="32"/>
  <c r="BQ35" i="32" s="1"/>
  <c r="BD35" i="32"/>
  <c r="BB35" i="32"/>
  <c r="BA35" i="32"/>
  <c r="BC35" i="32" s="1"/>
  <c r="AZ35" i="32"/>
  <c r="AY35" i="32"/>
  <c r="BP34" i="32"/>
  <c r="BO34" i="32"/>
  <c r="BN34" i="32"/>
  <c r="BM34" i="32"/>
  <c r="BL34" i="32"/>
  <c r="BQ34" i="32" s="1"/>
  <c r="BB34" i="32"/>
  <c r="BD34" i="32" s="1"/>
  <c r="BA34" i="32"/>
  <c r="AZ34" i="32"/>
  <c r="BC34" i="32" s="1"/>
  <c r="AY34" i="32"/>
  <c r="BP33" i="32"/>
  <c r="BO33" i="32"/>
  <c r="BN33" i="32"/>
  <c r="BM33" i="32"/>
  <c r="BL33" i="32"/>
  <c r="BQ33" i="32" s="1"/>
  <c r="BD33" i="32"/>
  <c r="BB33" i="32"/>
  <c r="BA33" i="32"/>
  <c r="BC33" i="32" s="1"/>
  <c r="AZ33" i="32"/>
  <c r="AY33" i="32"/>
  <c r="BP32" i="32"/>
  <c r="BO32" i="32"/>
  <c r="BN32" i="32"/>
  <c r="BM32" i="32"/>
  <c r="BL32" i="32"/>
  <c r="BQ32" i="32" s="1"/>
  <c r="BB32" i="32"/>
  <c r="BD32" i="32" s="1"/>
  <c r="BA32" i="32"/>
  <c r="AZ32" i="32"/>
  <c r="BC32" i="32" s="1"/>
  <c r="AY32" i="32"/>
  <c r="BP31" i="32"/>
  <c r="BO31" i="32"/>
  <c r="BN31" i="32"/>
  <c r="BM31" i="32"/>
  <c r="BL31" i="32"/>
  <c r="BQ31" i="32" s="1"/>
  <c r="BD31" i="32"/>
  <c r="BB31" i="32"/>
  <c r="BA31" i="32"/>
  <c r="BC31" i="32" s="1"/>
  <c r="AZ31" i="32"/>
  <c r="AY31" i="32"/>
  <c r="BP30" i="32"/>
  <c r="BO30" i="32"/>
  <c r="BN30" i="32"/>
  <c r="BM30" i="32"/>
  <c r="BL30" i="32"/>
  <c r="BQ30" i="32" s="1"/>
  <c r="BB30" i="32"/>
  <c r="BD30" i="32" s="1"/>
  <c r="BA30" i="32"/>
  <c r="AZ30" i="32"/>
  <c r="BC30" i="32" s="1"/>
  <c r="AY30" i="32"/>
  <c r="BP29" i="32"/>
  <c r="BO29" i="32"/>
  <c r="BN29" i="32"/>
  <c r="BM29" i="32"/>
  <c r="BL29" i="32"/>
  <c r="BQ29" i="32" s="1"/>
  <c r="BD29" i="32"/>
  <c r="BB29" i="32"/>
  <c r="BA29" i="32"/>
  <c r="BC29" i="32" s="1"/>
  <c r="AZ29" i="32"/>
  <c r="AY29" i="32"/>
  <c r="BP28" i="32"/>
  <c r="BO28" i="32"/>
  <c r="BN28" i="32"/>
  <c r="BM28" i="32"/>
  <c r="BL28" i="32"/>
  <c r="BQ28" i="32" s="1"/>
  <c r="BD28" i="32"/>
  <c r="BB28" i="32"/>
  <c r="BA28" i="32"/>
  <c r="AZ28" i="32"/>
  <c r="BC28" i="32" s="1"/>
  <c r="AY28" i="32"/>
  <c r="BP27" i="32"/>
  <c r="BO27" i="32"/>
  <c r="BN27" i="32"/>
  <c r="BM27" i="32"/>
  <c r="BL27" i="32"/>
  <c r="BQ27" i="32" s="1"/>
  <c r="BD27" i="32"/>
  <c r="BB27" i="32"/>
  <c r="BA27" i="32"/>
  <c r="AZ27" i="32"/>
  <c r="BC27" i="32" s="1"/>
  <c r="AY27" i="32"/>
  <c r="BP26" i="32"/>
  <c r="BO26" i="32"/>
  <c r="BN26" i="32"/>
  <c r="BM26" i="32"/>
  <c r="BL26" i="32"/>
  <c r="BQ26" i="32" s="1"/>
  <c r="BD26" i="32"/>
  <c r="BC26" i="32"/>
  <c r="BB26" i="32"/>
  <c r="BA26" i="32"/>
  <c r="AZ26" i="32"/>
  <c r="AY26" i="32"/>
  <c r="BP25" i="32"/>
  <c r="BO25" i="32"/>
  <c r="BN25" i="32"/>
  <c r="BM25" i="32"/>
  <c r="BL25" i="32"/>
  <c r="BQ25" i="32" s="1"/>
  <c r="BC25" i="32"/>
  <c r="BB25" i="32"/>
  <c r="BD25" i="32" s="1"/>
  <c r="BA25" i="32"/>
  <c r="AZ25" i="32"/>
  <c r="AY25" i="32"/>
  <c r="BP24" i="32"/>
  <c r="BO24" i="32"/>
  <c r="BN24" i="32"/>
  <c r="BM24" i="32"/>
  <c r="BL24" i="32"/>
  <c r="BQ24" i="32" s="1"/>
  <c r="BD24" i="32"/>
  <c r="BC24" i="32"/>
  <c r="BB24" i="32"/>
  <c r="BA24" i="32"/>
  <c r="AZ24" i="32"/>
  <c r="AY24" i="32"/>
  <c r="BP23" i="32"/>
  <c r="BO23" i="32"/>
  <c r="BN23" i="32"/>
  <c r="BM23" i="32"/>
  <c r="BL23" i="32"/>
  <c r="BB23" i="32"/>
  <c r="BD23" i="32" s="1"/>
  <c r="BA23" i="32"/>
  <c r="AZ23" i="32"/>
  <c r="BC23" i="32" s="1"/>
  <c r="AY23" i="32"/>
  <c r="BP22" i="32"/>
  <c r="BO22" i="32"/>
  <c r="BN22" i="32"/>
  <c r="BM22" i="32"/>
  <c r="BL22" i="32"/>
  <c r="BB22" i="32"/>
  <c r="BD22" i="32" s="1"/>
  <c r="BA22" i="32"/>
  <c r="AZ22" i="32"/>
  <c r="BC22" i="32" s="1"/>
  <c r="AY22" i="32"/>
  <c r="BP21" i="32"/>
  <c r="BO21" i="32"/>
  <c r="BN21" i="32"/>
  <c r="BM21" i="32"/>
  <c r="BL21" i="32"/>
  <c r="BB21" i="32"/>
  <c r="BD21" i="32" s="1"/>
  <c r="BA21" i="32"/>
  <c r="AZ21" i="32"/>
  <c r="BC21" i="32" s="1"/>
  <c r="AY21" i="32"/>
  <c r="BP20" i="32"/>
  <c r="BO20" i="32"/>
  <c r="BN20" i="32"/>
  <c r="BM20" i="32"/>
  <c r="BL20" i="32"/>
  <c r="BB20" i="32"/>
  <c r="BD20" i="32" s="1"/>
  <c r="BA20" i="32"/>
  <c r="AZ20" i="32"/>
  <c r="BC20" i="32" s="1"/>
  <c r="AY20" i="32"/>
  <c r="BP19" i="32"/>
  <c r="BO19" i="32"/>
  <c r="BN19" i="32"/>
  <c r="BM19" i="32"/>
  <c r="BL19" i="32"/>
  <c r="BB19" i="32"/>
  <c r="BD19" i="32" s="1"/>
  <c r="BA19" i="32"/>
  <c r="AZ19" i="32"/>
  <c r="AY19" i="32"/>
  <c r="AB19" i="32"/>
  <c r="AB20" i="32" s="1"/>
  <c r="AB21" i="32" s="1"/>
  <c r="AB22" i="32" s="1"/>
  <c r="AB23" i="32" s="1"/>
  <c r="AB24" i="32" s="1"/>
  <c r="AB25" i="32" s="1"/>
  <c r="AB28" i="32" s="1"/>
  <c r="AB29" i="32" s="1"/>
  <c r="AB30" i="32" s="1"/>
  <c r="AB31" i="32" s="1"/>
  <c r="AB32" i="32" s="1"/>
  <c r="AB33" i="32" s="1"/>
  <c r="AB34" i="32" s="1"/>
  <c r="AB35" i="32" s="1"/>
  <c r="AB36" i="32" s="1"/>
  <c r="AB37" i="32" s="1"/>
  <c r="AB38" i="32" s="1"/>
  <c r="AB39" i="32" s="1"/>
  <c r="AB40" i="32" s="1"/>
  <c r="AB41" i="32" s="1"/>
  <c r="AB42" i="32" s="1"/>
  <c r="AB43" i="32" s="1"/>
  <c r="AB44" i="32" s="1"/>
  <c r="AB45" i="32" s="1"/>
  <c r="AB46" i="32" s="1"/>
  <c r="BP18" i="32"/>
  <c r="BO18" i="32"/>
  <c r="BN18" i="32"/>
  <c r="BM18" i="32"/>
  <c r="BL18" i="32"/>
  <c r="BB18" i="32"/>
  <c r="BD18" i="32" s="1"/>
  <c r="BA18" i="32"/>
  <c r="AZ18" i="32"/>
  <c r="BC18" i="32" s="1"/>
  <c r="AY18" i="32"/>
  <c r="BP17" i="32"/>
  <c r="BO17" i="32"/>
  <c r="BN17" i="32"/>
  <c r="BM17" i="32"/>
  <c r="BL17" i="32"/>
  <c r="BD17" i="32"/>
  <c r="BB17" i="32"/>
  <c r="BA17" i="32"/>
  <c r="AZ17" i="32"/>
  <c r="AY17" i="32"/>
  <c r="BP16" i="32"/>
  <c r="BO16" i="32"/>
  <c r="BN16" i="32"/>
  <c r="BM16" i="32"/>
  <c r="BL16" i="32"/>
  <c r="BB16" i="32"/>
  <c r="BD16" i="32" s="1"/>
  <c r="BA16" i="32"/>
  <c r="AZ16" i="32"/>
  <c r="AY16" i="32"/>
  <c r="BP15" i="32"/>
  <c r="BO15" i="32"/>
  <c r="BN15" i="32"/>
  <c r="BM15" i="32"/>
  <c r="BL15" i="32"/>
  <c r="BB15" i="32"/>
  <c r="BD15" i="32" s="1"/>
  <c r="BA15" i="32"/>
  <c r="AZ15" i="32"/>
  <c r="AY15" i="32"/>
  <c r="AP15" i="32"/>
  <c r="AP16" i="32" s="1"/>
  <c r="AP17" i="32" s="1"/>
  <c r="AP18" i="32" s="1"/>
  <c r="AP19" i="32" s="1"/>
  <c r="AP20" i="32" s="1"/>
  <c r="AP21" i="32" s="1"/>
  <c r="AP22" i="32" s="1"/>
  <c r="AP23" i="32" s="1"/>
  <c r="AP24" i="32" s="1"/>
  <c r="AP25" i="32" s="1"/>
  <c r="AP26" i="32" s="1"/>
  <c r="AP27" i="32" s="1"/>
  <c r="AP28" i="32" s="1"/>
  <c r="AP29" i="32" s="1"/>
  <c r="AP30" i="32" s="1"/>
  <c r="AP31" i="32" s="1"/>
  <c r="AP32" i="32" s="1"/>
  <c r="AP33" i="32" s="1"/>
  <c r="AP34" i="32" s="1"/>
  <c r="AP35" i="32" s="1"/>
  <c r="AP36" i="32" s="1"/>
  <c r="AP37" i="32" s="1"/>
  <c r="AP38" i="32" s="1"/>
  <c r="AP39" i="32" s="1"/>
  <c r="AP40" i="32" s="1"/>
  <c r="AP41" i="32" s="1"/>
  <c r="AP42" i="32" s="1"/>
  <c r="AP43" i="32" s="1"/>
  <c r="AP44" i="32" s="1"/>
  <c r="AP45" i="32" s="1"/>
  <c r="AP46" i="32" s="1"/>
  <c r="AB15" i="32"/>
  <c r="AB16" i="32" s="1"/>
  <c r="AB17" i="32" s="1"/>
  <c r="BP14" i="32"/>
  <c r="BO14" i="32"/>
  <c r="BN14" i="32"/>
  <c r="BM14" i="32"/>
  <c r="BL14" i="32"/>
  <c r="BB14" i="32"/>
  <c r="BD14" i="32" s="1"/>
  <c r="BA14" i="32"/>
  <c r="AZ14" i="32"/>
  <c r="AY14" i="32"/>
  <c r="AP14" i="32"/>
  <c r="AB14" i="32"/>
  <c r="BP13" i="32"/>
  <c r="BO13" i="32"/>
  <c r="BN13" i="32"/>
  <c r="BM13" i="32"/>
  <c r="BL13" i="32"/>
  <c r="BB13" i="32"/>
  <c r="BD13" i="32" s="1"/>
  <c r="BA13" i="32"/>
  <c r="AZ13" i="32"/>
  <c r="BC13" i="32" s="1"/>
  <c r="AY13" i="32"/>
  <c r="BP11" i="32"/>
  <c r="BO11" i="32"/>
  <c r="BN11" i="32"/>
  <c r="BM11" i="32"/>
  <c r="BL11" i="32"/>
  <c r="BP10" i="32"/>
  <c r="BO10" i="32"/>
  <c r="BN10" i="32"/>
  <c r="BM10" i="32"/>
  <c r="BL10" i="32"/>
  <c r="Z8" i="32"/>
  <c r="J8" i="32"/>
  <c r="AC7" i="32"/>
  <c r="F25" i="32" s="1"/>
  <c r="G7" i="32"/>
  <c r="F10" i="32" s="1"/>
  <c r="D6" i="32"/>
  <c r="G4" i="32"/>
  <c r="K4" i="32" s="1"/>
  <c r="D3" i="32"/>
  <c r="BP46" i="33"/>
  <c r="BO46" i="33"/>
  <c r="BN46" i="33"/>
  <c r="BM46" i="33"/>
  <c r="BL46" i="33"/>
  <c r="BQ46" i="33" s="1"/>
  <c r="BC46" i="33"/>
  <c r="BB46" i="33"/>
  <c r="BD46" i="33" s="1"/>
  <c r="BA46" i="33"/>
  <c r="AZ46" i="33"/>
  <c r="AY46" i="33"/>
  <c r="BP45" i="33"/>
  <c r="BO45" i="33"/>
  <c r="BN45" i="33"/>
  <c r="BM45" i="33"/>
  <c r="BL45" i="33"/>
  <c r="BQ45" i="33" s="1"/>
  <c r="BC45" i="33"/>
  <c r="BB45" i="33"/>
  <c r="BD45" i="33" s="1"/>
  <c r="BA45" i="33"/>
  <c r="AZ45" i="33"/>
  <c r="AY45" i="33"/>
  <c r="BP44" i="33"/>
  <c r="BO44" i="33"/>
  <c r="BN44" i="33"/>
  <c r="BM44" i="33"/>
  <c r="BL44" i="33"/>
  <c r="BQ44" i="33" s="1"/>
  <c r="BC44" i="33"/>
  <c r="BB44" i="33"/>
  <c r="BD44" i="33" s="1"/>
  <c r="BA44" i="33"/>
  <c r="AZ44" i="33"/>
  <c r="AY44" i="33"/>
  <c r="BP43" i="33"/>
  <c r="BO43" i="33"/>
  <c r="BN43" i="33"/>
  <c r="BM43" i="33"/>
  <c r="BL43" i="33"/>
  <c r="BQ43" i="33" s="1"/>
  <c r="BC43" i="33"/>
  <c r="BB43" i="33"/>
  <c r="BD43" i="33" s="1"/>
  <c r="BA43" i="33"/>
  <c r="AZ43" i="33"/>
  <c r="AY43" i="33"/>
  <c r="BP42" i="33"/>
  <c r="BO42" i="33"/>
  <c r="BN42" i="33"/>
  <c r="BM42" i="33"/>
  <c r="BL42" i="33"/>
  <c r="BQ42" i="33" s="1"/>
  <c r="BC42" i="33"/>
  <c r="BB42" i="33"/>
  <c r="BD42" i="33" s="1"/>
  <c r="BA42" i="33"/>
  <c r="AZ42" i="33"/>
  <c r="AY42" i="33"/>
  <c r="BP41" i="33"/>
  <c r="BO41" i="33"/>
  <c r="BN41" i="33"/>
  <c r="BM41" i="33"/>
  <c r="BL41" i="33"/>
  <c r="BQ41" i="33" s="1"/>
  <c r="BC41" i="33"/>
  <c r="BB41" i="33"/>
  <c r="BD41" i="33" s="1"/>
  <c r="BA41" i="33"/>
  <c r="AZ41" i="33"/>
  <c r="AY41" i="33"/>
  <c r="BP40" i="33"/>
  <c r="BO40" i="33"/>
  <c r="BN40" i="33"/>
  <c r="BM40" i="33"/>
  <c r="BL40" i="33"/>
  <c r="BQ40" i="33" s="1"/>
  <c r="BC40" i="33"/>
  <c r="BB40" i="33"/>
  <c r="BD40" i="33" s="1"/>
  <c r="BA40" i="33"/>
  <c r="AZ40" i="33"/>
  <c r="AY40" i="33"/>
  <c r="BP39" i="33"/>
  <c r="BO39" i="33"/>
  <c r="BN39" i="33"/>
  <c r="BM39" i="33"/>
  <c r="BL39" i="33"/>
  <c r="BQ39" i="33" s="1"/>
  <c r="BD39" i="33"/>
  <c r="BB39" i="33"/>
  <c r="BA39" i="33"/>
  <c r="BC39" i="33" s="1"/>
  <c r="AZ39" i="33"/>
  <c r="AY39" i="33"/>
  <c r="BP38" i="33"/>
  <c r="BO38" i="33"/>
  <c r="BN38" i="33"/>
  <c r="BM38" i="33"/>
  <c r="BL38" i="33"/>
  <c r="BQ38" i="33" s="1"/>
  <c r="BB38" i="33"/>
  <c r="BD38" i="33" s="1"/>
  <c r="BA38" i="33"/>
  <c r="AZ38" i="33"/>
  <c r="BC38" i="33" s="1"/>
  <c r="AY38" i="33"/>
  <c r="BP37" i="33"/>
  <c r="BO37" i="33"/>
  <c r="BN37" i="33"/>
  <c r="BM37" i="33"/>
  <c r="BL37" i="33"/>
  <c r="BQ37" i="33" s="1"/>
  <c r="BD37" i="33"/>
  <c r="BB37" i="33"/>
  <c r="BA37" i="33"/>
  <c r="BC37" i="33" s="1"/>
  <c r="AZ37" i="33"/>
  <c r="AY37" i="33"/>
  <c r="BP36" i="33"/>
  <c r="BO36" i="33"/>
  <c r="BN36" i="33"/>
  <c r="BM36" i="33"/>
  <c r="BL36" i="33"/>
  <c r="BQ36" i="33" s="1"/>
  <c r="BB36" i="33"/>
  <c r="BD36" i="33" s="1"/>
  <c r="BA36" i="33"/>
  <c r="AZ36" i="33"/>
  <c r="BC36" i="33" s="1"/>
  <c r="AY36" i="33"/>
  <c r="BP35" i="33"/>
  <c r="BO35" i="33"/>
  <c r="BN35" i="33"/>
  <c r="BM35" i="33"/>
  <c r="BL35" i="33"/>
  <c r="BQ35" i="33" s="1"/>
  <c r="BD35" i="33"/>
  <c r="BB35" i="33"/>
  <c r="BA35" i="33"/>
  <c r="BC35" i="33" s="1"/>
  <c r="AZ35" i="33"/>
  <c r="AY35" i="33"/>
  <c r="BP34" i="33"/>
  <c r="BO34" i="33"/>
  <c r="BN34" i="33"/>
  <c r="BM34" i="33"/>
  <c r="BL34" i="33"/>
  <c r="BQ34" i="33" s="1"/>
  <c r="BB34" i="33"/>
  <c r="BD34" i="33" s="1"/>
  <c r="BA34" i="33"/>
  <c r="AZ34" i="33"/>
  <c r="BC34" i="33" s="1"/>
  <c r="AY34" i="33"/>
  <c r="BP33" i="33"/>
  <c r="BO33" i="33"/>
  <c r="BN33" i="33"/>
  <c r="BM33" i="33"/>
  <c r="BL33" i="33"/>
  <c r="BQ33" i="33" s="1"/>
  <c r="BD33" i="33"/>
  <c r="BB33" i="33"/>
  <c r="BA33" i="33"/>
  <c r="BC33" i="33" s="1"/>
  <c r="AZ33" i="33"/>
  <c r="AY33" i="33"/>
  <c r="BP32" i="33"/>
  <c r="BO32" i="33"/>
  <c r="BN32" i="33"/>
  <c r="BM32" i="33"/>
  <c r="BL32" i="33"/>
  <c r="BQ32" i="33" s="1"/>
  <c r="AO32" i="33" s="1"/>
  <c r="BB32" i="33"/>
  <c r="BD32" i="33" s="1"/>
  <c r="BA32" i="33"/>
  <c r="AZ32" i="33"/>
  <c r="BC32" i="33" s="1"/>
  <c r="AY32" i="33"/>
  <c r="AR32" i="33"/>
  <c r="BP31" i="33"/>
  <c r="BO31" i="33"/>
  <c r="BN31" i="33"/>
  <c r="BM31" i="33"/>
  <c r="BL31" i="33"/>
  <c r="BQ31" i="33" s="1"/>
  <c r="BD31" i="33"/>
  <c r="BB31" i="33"/>
  <c r="BA31" i="33"/>
  <c r="BC31" i="33" s="1"/>
  <c r="AZ31" i="33"/>
  <c r="AY31" i="33"/>
  <c r="BP30" i="33"/>
  <c r="BO30" i="33"/>
  <c r="BN30" i="33"/>
  <c r="BM30" i="33"/>
  <c r="BL30" i="33"/>
  <c r="BQ30" i="33" s="1"/>
  <c r="AO30" i="33" s="1"/>
  <c r="BB30" i="33"/>
  <c r="BD30" i="33" s="1"/>
  <c r="BA30" i="33"/>
  <c r="AZ30" i="33"/>
  <c r="BC30" i="33" s="1"/>
  <c r="AY30" i="33"/>
  <c r="BP29" i="33"/>
  <c r="BO29" i="33"/>
  <c r="BN29" i="33"/>
  <c r="BM29" i="33"/>
  <c r="BL29" i="33"/>
  <c r="BQ29" i="33" s="1"/>
  <c r="BD29" i="33"/>
  <c r="BB29" i="33"/>
  <c r="BA29" i="33"/>
  <c r="BC29" i="33" s="1"/>
  <c r="AZ29" i="33"/>
  <c r="AY29" i="33"/>
  <c r="BP28" i="33"/>
  <c r="BO28" i="33"/>
  <c r="BN28" i="33"/>
  <c r="BM28" i="33"/>
  <c r="BL28" i="33"/>
  <c r="BQ28" i="33" s="1"/>
  <c r="BD28" i="33"/>
  <c r="BB28" i="33"/>
  <c r="BA28" i="33"/>
  <c r="BC28" i="33" s="1"/>
  <c r="AZ28" i="33"/>
  <c r="AY28" i="33"/>
  <c r="BP27" i="33"/>
  <c r="BO27" i="33"/>
  <c r="BN27" i="33"/>
  <c r="BM27" i="33"/>
  <c r="BL27" i="33"/>
  <c r="BQ27" i="33" s="1"/>
  <c r="BD27" i="33"/>
  <c r="BB27" i="33"/>
  <c r="BA27" i="33"/>
  <c r="AZ27" i="33"/>
  <c r="BC27" i="33" s="1"/>
  <c r="AY27" i="33"/>
  <c r="BP26" i="33"/>
  <c r="BO26" i="33"/>
  <c r="BN26" i="33"/>
  <c r="BM26" i="33"/>
  <c r="BL26" i="33"/>
  <c r="BQ26" i="33" s="1"/>
  <c r="BD26" i="33"/>
  <c r="BC26" i="33"/>
  <c r="BB26" i="33"/>
  <c r="BA26" i="33"/>
  <c r="AZ26" i="33"/>
  <c r="AY26" i="33"/>
  <c r="BP25" i="33"/>
  <c r="BO25" i="33"/>
  <c r="BN25" i="33"/>
  <c r="BM25" i="33"/>
  <c r="BL25" i="33"/>
  <c r="BQ25" i="33" s="1"/>
  <c r="BC25" i="33"/>
  <c r="BB25" i="33"/>
  <c r="BD25" i="33" s="1"/>
  <c r="BA25" i="33"/>
  <c r="AZ25" i="33"/>
  <c r="AY25" i="33"/>
  <c r="BP24" i="33"/>
  <c r="BO24" i="33"/>
  <c r="BN24" i="33"/>
  <c r="BM24" i="33"/>
  <c r="BL24" i="33"/>
  <c r="BQ24" i="33" s="1"/>
  <c r="BC24" i="33"/>
  <c r="BB24" i="33"/>
  <c r="BD24" i="33" s="1"/>
  <c r="BA24" i="33"/>
  <c r="AZ24" i="33"/>
  <c r="AY24" i="33"/>
  <c r="BP23" i="33"/>
  <c r="BO23" i="33"/>
  <c r="BN23" i="33"/>
  <c r="BM23" i="33"/>
  <c r="BL23" i="33"/>
  <c r="BQ23" i="33" s="1"/>
  <c r="BB23" i="33"/>
  <c r="BD23" i="33" s="1"/>
  <c r="BA23" i="33"/>
  <c r="AZ23" i="33"/>
  <c r="BC23" i="33" s="1"/>
  <c r="AY23" i="33"/>
  <c r="BP22" i="33"/>
  <c r="BO22" i="33"/>
  <c r="BN22" i="33"/>
  <c r="BM22" i="33"/>
  <c r="BL22" i="33"/>
  <c r="BB22" i="33"/>
  <c r="BD22" i="33" s="1"/>
  <c r="BA22" i="33"/>
  <c r="AZ22" i="33"/>
  <c r="BC22" i="33" s="1"/>
  <c r="AY22" i="33"/>
  <c r="BP21" i="33"/>
  <c r="BO21" i="33"/>
  <c r="BN21" i="33"/>
  <c r="BM21" i="33"/>
  <c r="BL21" i="33"/>
  <c r="BB21" i="33"/>
  <c r="BD21" i="33" s="1"/>
  <c r="BA21" i="33"/>
  <c r="AZ21" i="33"/>
  <c r="BC21" i="33" s="1"/>
  <c r="AY21" i="33"/>
  <c r="BP20" i="33"/>
  <c r="BO20" i="33"/>
  <c r="BN20" i="33"/>
  <c r="BM20" i="33"/>
  <c r="BL20" i="33"/>
  <c r="BB20" i="33"/>
  <c r="BD20" i="33" s="1"/>
  <c r="BA20" i="33"/>
  <c r="AZ20" i="33"/>
  <c r="BC20" i="33" s="1"/>
  <c r="AY20" i="33"/>
  <c r="BP19" i="33"/>
  <c r="BO19" i="33"/>
  <c r="BN19" i="33"/>
  <c r="BM19" i="33"/>
  <c r="BL19" i="33"/>
  <c r="BB19" i="33"/>
  <c r="BD19" i="33" s="1"/>
  <c r="BA19" i="33"/>
  <c r="AZ19" i="33"/>
  <c r="BC19" i="33" s="1"/>
  <c r="AY19" i="33"/>
  <c r="AB19" i="33"/>
  <c r="AB20" i="33" s="1"/>
  <c r="AB21" i="33" s="1"/>
  <c r="AB22" i="33" s="1"/>
  <c r="AB23" i="33" s="1"/>
  <c r="AB24" i="33" s="1"/>
  <c r="AB25" i="33" s="1"/>
  <c r="AB28" i="33" s="1"/>
  <c r="AB29" i="33" s="1"/>
  <c r="AB30" i="33" s="1"/>
  <c r="AB31" i="33" s="1"/>
  <c r="AB32" i="33" s="1"/>
  <c r="AB33" i="33" s="1"/>
  <c r="AB34" i="33" s="1"/>
  <c r="AB35" i="33" s="1"/>
  <c r="AB36" i="33" s="1"/>
  <c r="AB37" i="33" s="1"/>
  <c r="AB38" i="33" s="1"/>
  <c r="AB39" i="33" s="1"/>
  <c r="AB40" i="33" s="1"/>
  <c r="AB41" i="33" s="1"/>
  <c r="AB42" i="33" s="1"/>
  <c r="AB43" i="33" s="1"/>
  <c r="AB44" i="33" s="1"/>
  <c r="AB45" i="33" s="1"/>
  <c r="AB46" i="33" s="1"/>
  <c r="BP18" i="33"/>
  <c r="BO18" i="33"/>
  <c r="BN18" i="33"/>
  <c r="BM18" i="33"/>
  <c r="BL18" i="33"/>
  <c r="BB18" i="33"/>
  <c r="BD18" i="33" s="1"/>
  <c r="BA18" i="33"/>
  <c r="AZ18" i="33"/>
  <c r="BC18" i="33" s="1"/>
  <c r="AY18" i="33"/>
  <c r="BP17" i="33"/>
  <c r="BO17" i="33"/>
  <c r="BN17" i="33"/>
  <c r="BM17" i="33"/>
  <c r="BL17" i="33"/>
  <c r="BD17" i="33"/>
  <c r="BB17" i="33"/>
  <c r="BA17" i="33"/>
  <c r="AZ17" i="33"/>
  <c r="AY17" i="33"/>
  <c r="BP16" i="33"/>
  <c r="BO16" i="33"/>
  <c r="BN16" i="33"/>
  <c r="BM16" i="33"/>
  <c r="BL16" i="33"/>
  <c r="BQ16" i="33" s="1"/>
  <c r="AO16" i="33" s="1"/>
  <c r="BB16" i="33"/>
  <c r="BD16" i="33" s="1"/>
  <c r="BA16" i="33"/>
  <c r="AZ16" i="33"/>
  <c r="AY16" i="33"/>
  <c r="BP15" i="33"/>
  <c r="BO15" i="33"/>
  <c r="BN15" i="33"/>
  <c r="BM15" i="33"/>
  <c r="BL15" i="33"/>
  <c r="BD15" i="33"/>
  <c r="BB15" i="33"/>
  <c r="BA15" i="33"/>
  <c r="AZ15" i="33"/>
  <c r="AY15" i="33"/>
  <c r="AP15" i="33"/>
  <c r="AP16" i="33" s="1"/>
  <c r="AP17" i="33" s="1"/>
  <c r="AP18" i="33" s="1"/>
  <c r="AP19" i="33" s="1"/>
  <c r="AP20" i="33" s="1"/>
  <c r="AP21" i="33" s="1"/>
  <c r="AP22" i="33" s="1"/>
  <c r="AP23" i="33" s="1"/>
  <c r="AP24" i="33" s="1"/>
  <c r="AP25" i="33" s="1"/>
  <c r="AP26" i="33" s="1"/>
  <c r="AP27" i="33" s="1"/>
  <c r="AP28" i="33" s="1"/>
  <c r="AP29" i="33" s="1"/>
  <c r="AP30" i="33" s="1"/>
  <c r="AP31" i="33" s="1"/>
  <c r="AP32" i="33" s="1"/>
  <c r="AP33" i="33" s="1"/>
  <c r="AP34" i="33" s="1"/>
  <c r="AP35" i="33" s="1"/>
  <c r="AP36" i="33" s="1"/>
  <c r="AP37" i="33" s="1"/>
  <c r="AP38" i="33" s="1"/>
  <c r="AP39" i="33" s="1"/>
  <c r="AP40" i="33" s="1"/>
  <c r="AP41" i="33" s="1"/>
  <c r="AP42" i="33" s="1"/>
  <c r="AP43" i="33" s="1"/>
  <c r="AP44" i="33" s="1"/>
  <c r="AP45" i="33" s="1"/>
  <c r="AP46" i="33" s="1"/>
  <c r="AB15" i="33"/>
  <c r="AB16" i="33" s="1"/>
  <c r="AB17" i="33" s="1"/>
  <c r="BP14" i="33"/>
  <c r="BO14" i="33"/>
  <c r="BN14" i="33"/>
  <c r="BM14" i="33"/>
  <c r="BL14" i="33"/>
  <c r="BB14" i="33"/>
  <c r="BD14" i="33" s="1"/>
  <c r="BA14" i="33"/>
  <c r="AZ14" i="33"/>
  <c r="AY14" i="33"/>
  <c r="AP14" i="33"/>
  <c r="AB14" i="33"/>
  <c r="BP13" i="33"/>
  <c r="BO13" i="33"/>
  <c r="BN13" i="33"/>
  <c r="BM13" i="33"/>
  <c r="BL13" i="33"/>
  <c r="BB13" i="33"/>
  <c r="BD13" i="33" s="1"/>
  <c r="BA13" i="33"/>
  <c r="AZ13" i="33"/>
  <c r="AY13" i="33"/>
  <c r="BP11" i="33"/>
  <c r="BO11" i="33"/>
  <c r="BN11" i="33"/>
  <c r="BM11" i="33"/>
  <c r="BL11" i="33"/>
  <c r="BP10" i="33"/>
  <c r="BO10" i="33"/>
  <c r="BN10" i="33"/>
  <c r="BM10" i="33"/>
  <c r="BL10" i="33"/>
  <c r="Z8" i="33"/>
  <c r="J8" i="33"/>
  <c r="AC7" i="33"/>
  <c r="F25" i="33" s="1"/>
  <c r="G7" i="33"/>
  <c r="F10" i="33" s="1"/>
  <c r="E15" i="33" s="1"/>
  <c r="D6" i="33"/>
  <c r="G4" i="33"/>
  <c r="K4" i="33" s="1"/>
  <c r="D3" i="33"/>
  <c r="BP46" i="34"/>
  <c r="BO46" i="34"/>
  <c r="BN46" i="34"/>
  <c r="BM46" i="34"/>
  <c r="BL46" i="34"/>
  <c r="BQ46" i="34" s="1"/>
  <c r="BC46" i="34"/>
  <c r="BB46" i="34"/>
  <c r="BD46" i="34" s="1"/>
  <c r="BA46" i="34"/>
  <c r="AZ46" i="34"/>
  <c r="AY46" i="34"/>
  <c r="BP45" i="34"/>
  <c r="BO45" i="34"/>
  <c r="BN45" i="34"/>
  <c r="BM45" i="34"/>
  <c r="BL45" i="34"/>
  <c r="BQ45" i="34" s="1"/>
  <c r="BC45" i="34"/>
  <c r="BB45" i="34"/>
  <c r="BD45" i="34" s="1"/>
  <c r="BA45" i="34"/>
  <c r="AZ45" i="34"/>
  <c r="AY45" i="34"/>
  <c r="BP44" i="34"/>
  <c r="BO44" i="34"/>
  <c r="BN44" i="34"/>
  <c r="BM44" i="34"/>
  <c r="BL44" i="34"/>
  <c r="BQ44" i="34" s="1"/>
  <c r="BC44" i="34"/>
  <c r="BB44" i="34"/>
  <c r="BD44" i="34" s="1"/>
  <c r="BA44" i="34"/>
  <c r="AZ44" i="34"/>
  <c r="AY44" i="34"/>
  <c r="BP43" i="34"/>
  <c r="BO43" i="34"/>
  <c r="BN43" i="34"/>
  <c r="BM43" i="34"/>
  <c r="BL43" i="34"/>
  <c r="BQ43" i="34" s="1"/>
  <c r="BC43" i="34"/>
  <c r="BB43" i="34"/>
  <c r="BD43" i="34" s="1"/>
  <c r="BA43" i="34"/>
  <c r="AZ43" i="34"/>
  <c r="AY43" i="34"/>
  <c r="BP42" i="34"/>
  <c r="BO42" i="34"/>
  <c r="BN42" i="34"/>
  <c r="BM42" i="34"/>
  <c r="BL42" i="34"/>
  <c r="BC42" i="34"/>
  <c r="BB42" i="34"/>
  <c r="BD42" i="34" s="1"/>
  <c r="BA42" i="34"/>
  <c r="AZ42" i="34"/>
  <c r="AY42" i="34"/>
  <c r="BP41" i="34"/>
  <c r="BO41" i="34"/>
  <c r="BN41" i="34"/>
  <c r="BM41" i="34"/>
  <c r="BL41" i="34"/>
  <c r="BQ41" i="34" s="1"/>
  <c r="BC41" i="34"/>
  <c r="BB41" i="34"/>
  <c r="BD41" i="34" s="1"/>
  <c r="BA41" i="34"/>
  <c r="AZ41" i="34"/>
  <c r="AY41" i="34"/>
  <c r="BP40" i="34"/>
  <c r="BO40" i="34"/>
  <c r="BN40" i="34"/>
  <c r="BM40" i="34"/>
  <c r="BL40" i="34"/>
  <c r="BQ40" i="34" s="1"/>
  <c r="BC40" i="34"/>
  <c r="BB40" i="34"/>
  <c r="BD40" i="34" s="1"/>
  <c r="BA40" i="34"/>
  <c r="AZ40" i="34"/>
  <c r="AY40" i="34"/>
  <c r="BP39" i="34"/>
  <c r="BQ39" i="34" s="1"/>
  <c r="BO39" i="34"/>
  <c r="BN39" i="34"/>
  <c r="BM39" i="34"/>
  <c r="BL39" i="34"/>
  <c r="BD39" i="34"/>
  <c r="BB39" i="34"/>
  <c r="BA39" i="34"/>
  <c r="AZ39" i="34"/>
  <c r="BC39" i="34" s="1"/>
  <c r="AY39" i="34"/>
  <c r="BP38" i="34"/>
  <c r="BO38" i="34"/>
  <c r="BN38" i="34"/>
  <c r="BM38" i="34"/>
  <c r="BL38" i="34"/>
  <c r="BQ38" i="34" s="1"/>
  <c r="AO38" i="34" s="1"/>
  <c r="BB38" i="34"/>
  <c r="BD38" i="34" s="1"/>
  <c r="BA38" i="34"/>
  <c r="AZ38" i="34"/>
  <c r="BC38" i="34" s="1"/>
  <c r="AY38" i="34"/>
  <c r="AR38" i="34"/>
  <c r="BP37" i="34"/>
  <c r="BO37" i="34"/>
  <c r="BQ37" i="34" s="1"/>
  <c r="BN37" i="34"/>
  <c r="BM37" i="34"/>
  <c r="BL37" i="34"/>
  <c r="BD37" i="34"/>
  <c r="BB37" i="34"/>
  <c r="BA37" i="34"/>
  <c r="AZ37" i="34"/>
  <c r="BC37" i="34" s="1"/>
  <c r="AY37" i="34"/>
  <c r="BP36" i="34"/>
  <c r="BO36" i="34"/>
  <c r="BN36" i="34"/>
  <c r="BM36" i="34"/>
  <c r="BL36" i="34"/>
  <c r="BQ36" i="34" s="1"/>
  <c r="AO36" i="34" s="1"/>
  <c r="BB36" i="34"/>
  <c r="BD36" i="34" s="1"/>
  <c r="BA36" i="34"/>
  <c r="AZ36" i="34"/>
  <c r="BC36" i="34" s="1"/>
  <c r="AY36" i="34"/>
  <c r="AR36" i="34"/>
  <c r="BP35" i="34"/>
  <c r="BO35" i="34"/>
  <c r="BN35" i="34"/>
  <c r="BQ35" i="34" s="1"/>
  <c r="BM35" i="34"/>
  <c r="BL35" i="34"/>
  <c r="BD35" i="34"/>
  <c r="BB35" i="34"/>
  <c r="BA35" i="34"/>
  <c r="AZ35" i="34"/>
  <c r="BC35" i="34" s="1"/>
  <c r="AY35" i="34"/>
  <c r="BP34" i="34"/>
  <c r="BO34" i="34"/>
  <c r="BN34" i="34"/>
  <c r="BM34" i="34"/>
  <c r="BL34" i="34"/>
  <c r="BQ34" i="34" s="1"/>
  <c r="AO34" i="34" s="1"/>
  <c r="BB34" i="34"/>
  <c r="BD34" i="34" s="1"/>
  <c r="BA34" i="34"/>
  <c r="AZ34" i="34"/>
  <c r="BC34" i="34" s="1"/>
  <c r="AY34" i="34"/>
  <c r="AR34" i="34"/>
  <c r="BP33" i="34"/>
  <c r="BO33" i="34"/>
  <c r="BN33" i="34"/>
  <c r="BM33" i="34"/>
  <c r="BQ33" i="34" s="1"/>
  <c r="BL33" i="34"/>
  <c r="BD33" i="34"/>
  <c r="BB33" i="34"/>
  <c r="BA33" i="34"/>
  <c r="AZ33" i="34"/>
  <c r="BC33" i="34" s="1"/>
  <c r="AY33" i="34"/>
  <c r="BP32" i="34"/>
  <c r="BO32" i="34"/>
  <c r="BN32" i="34"/>
  <c r="BM32" i="34"/>
  <c r="BL32" i="34"/>
  <c r="BQ32" i="34" s="1"/>
  <c r="AO32" i="34" s="1"/>
  <c r="BB32" i="34"/>
  <c r="BD32" i="34" s="1"/>
  <c r="BA32" i="34"/>
  <c r="AZ32" i="34"/>
  <c r="BC32" i="34" s="1"/>
  <c r="AY32" i="34"/>
  <c r="AR32" i="34"/>
  <c r="BP31" i="34"/>
  <c r="BO31" i="34"/>
  <c r="BN31" i="34"/>
  <c r="BM31" i="34"/>
  <c r="BL31" i="34"/>
  <c r="BQ31" i="34" s="1"/>
  <c r="BD31" i="34"/>
  <c r="BB31" i="34"/>
  <c r="BA31" i="34"/>
  <c r="AZ31" i="34"/>
  <c r="BC31" i="34" s="1"/>
  <c r="AY31" i="34"/>
  <c r="BP30" i="34"/>
  <c r="BO30" i="34"/>
  <c r="BN30" i="34"/>
  <c r="BM30" i="34"/>
  <c r="BL30" i="34"/>
  <c r="BQ30" i="34" s="1"/>
  <c r="AO30" i="34" s="1"/>
  <c r="BB30" i="34"/>
  <c r="BD30" i="34" s="1"/>
  <c r="BA30" i="34"/>
  <c r="AZ30" i="34"/>
  <c r="BC30" i="34" s="1"/>
  <c r="AY30" i="34"/>
  <c r="AR30" i="34"/>
  <c r="BP29" i="34"/>
  <c r="BO29" i="34"/>
  <c r="BN29" i="34"/>
  <c r="BM29" i="34"/>
  <c r="BL29" i="34"/>
  <c r="BQ29" i="34" s="1"/>
  <c r="BD29" i="34"/>
  <c r="BB29" i="34"/>
  <c r="BA29" i="34"/>
  <c r="AZ29" i="34"/>
  <c r="BC29" i="34" s="1"/>
  <c r="AY29" i="34"/>
  <c r="BP28" i="34"/>
  <c r="BO28" i="34"/>
  <c r="BN28" i="34"/>
  <c r="BM28" i="34"/>
  <c r="BL28" i="34"/>
  <c r="BQ28" i="34" s="1"/>
  <c r="BD28" i="34"/>
  <c r="BB28" i="34"/>
  <c r="BA28" i="34"/>
  <c r="AZ28" i="34"/>
  <c r="BC28" i="34" s="1"/>
  <c r="AY28" i="34"/>
  <c r="BQ27" i="34"/>
  <c r="BP27" i="34"/>
  <c r="BO27" i="34"/>
  <c r="BN27" i="34"/>
  <c r="BM27" i="34"/>
  <c r="BL27" i="34"/>
  <c r="BD27" i="34"/>
  <c r="BB27" i="34"/>
  <c r="BA27" i="34"/>
  <c r="AZ27" i="34"/>
  <c r="BC27" i="34" s="1"/>
  <c r="AY27" i="34"/>
  <c r="BP26" i="34"/>
  <c r="BO26" i="34"/>
  <c r="BN26" i="34"/>
  <c r="BM26" i="34"/>
  <c r="BL26" i="34"/>
  <c r="BQ26" i="34" s="1"/>
  <c r="BD26" i="34"/>
  <c r="BC26" i="34"/>
  <c r="BB26" i="34"/>
  <c r="BA26" i="34"/>
  <c r="AZ26" i="34"/>
  <c r="AY26" i="34"/>
  <c r="BP25" i="34"/>
  <c r="BO25" i="34"/>
  <c r="BN25" i="34"/>
  <c r="BM25" i="34"/>
  <c r="BL25" i="34"/>
  <c r="BQ25" i="34" s="1"/>
  <c r="BC25" i="34"/>
  <c r="BB25" i="34"/>
  <c r="BD25" i="34" s="1"/>
  <c r="BA25" i="34"/>
  <c r="AZ25" i="34"/>
  <c r="AY25" i="34"/>
  <c r="BP24" i="34"/>
  <c r="BO24" i="34"/>
  <c r="BN24" i="34"/>
  <c r="BM24" i="34"/>
  <c r="BL24" i="34"/>
  <c r="BD24" i="34"/>
  <c r="BC24" i="34"/>
  <c r="BB24" i="34"/>
  <c r="BA24" i="34"/>
  <c r="AZ24" i="34"/>
  <c r="AY24" i="34"/>
  <c r="BP23" i="34"/>
  <c r="BO23" i="34"/>
  <c r="BN23" i="34"/>
  <c r="BM23" i="34"/>
  <c r="BL23" i="34"/>
  <c r="BB23" i="34"/>
  <c r="BD23" i="34" s="1"/>
  <c r="BA23" i="34"/>
  <c r="AZ23" i="34"/>
  <c r="AY23" i="34"/>
  <c r="AB23" i="34"/>
  <c r="AB24" i="34" s="1"/>
  <c r="AB25" i="34" s="1"/>
  <c r="AB28" i="34" s="1"/>
  <c r="AB29" i="34" s="1"/>
  <c r="AB30" i="34" s="1"/>
  <c r="AB31" i="34" s="1"/>
  <c r="AB32" i="34" s="1"/>
  <c r="AB33" i="34" s="1"/>
  <c r="AB34" i="34" s="1"/>
  <c r="AB35" i="34" s="1"/>
  <c r="AB36" i="34" s="1"/>
  <c r="AB37" i="34" s="1"/>
  <c r="AB38" i="34" s="1"/>
  <c r="AB39" i="34" s="1"/>
  <c r="AB40" i="34" s="1"/>
  <c r="AB41" i="34" s="1"/>
  <c r="AB42" i="34" s="1"/>
  <c r="AB43" i="34" s="1"/>
  <c r="AB44" i="34" s="1"/>
  <c r="AB45" i="34" s="1"/>
  <c r="AB46" i="34" s="1"/>
  <c r="BP22" i="34"/>
  <c r="BO22" i="34"/>
  <c r="BN22" i="34"/>
  <c r="BM22" i="34"/>
  <c r="BL22" i="34"/>
  <c r="BQ22" i="34" s="1"/>
  <c r="BB22" i="34"/>
  <c r="BD22" i="34" s="1"/>
  <c r="BA22" i="34"/>
  <c r="AZ22" i="34"/>
  <c r="BC22" i="34" s="1"/>
  <c r="AY22" i="34"/>
  <c r="BP21" i="34"/>
  <c r="BO21" i="34"/>
  <c r="BN21" i="34"/>
  <c r="BM21" i="34"/>
  <c r="BL21" i="34"/>
  <c r="BB21" i="34"/>
  <c r="BD21" i="34" s="1"/>
  <c r="BA21" i="34"/>
  <c r="AZ21" i="34"/>
  <c r="BC21" i="34" s="1"/>
  <c r="AY21" i="34"/>
  <c r="AB21" i="34"/>
  <c r="AB22" i="34" s="1"/>
  <c r="BP20" i="34"/>
  <c r="BO20" i="34"/>
  <c r="BN20" i="34"/>
  <c r="BM20" i="34"/>
  <c r="BL20" i="34"/>
  <c r="BB20" i="34"/>
  <c r="BD20" i="34" s="1"/>
  <c r="BA20" i="34"/>
  <c r="AZ20" i="34"/>
  <c r="AY20" i="34"/>
  <c r="BP19" i="34"/>
  <c r="BO19" i="34"/>
  <c r="BN19" i="34"/>
  <c r="BM19" i="34"/>
  <c r="BL19" i="34"/>
  <c r="BB19" i="34"/>
  <c r="BD19" i="34" s="1"/>
  <c r="BA19" i="34"/>
  <c r="AZ19" i="34"/>
  <c r="AY19" i="34"/>
  <c r="AB19" i="34"/>
  <c r="AB20" i="34" s="1"/>
  <c r="BP18" i="34"/>
  <c r="BO18" i="34"/>
  <c r="BN18" i="34"/>
  <c r="BM18" i="34"/>
  <c r="BL18" i="34"/>
  <c r="BB18" i="34"/>
  <c r="BD18" i="34" s="1"/>
  <c r="BA18" i="34"/>
  <c r="BC18" i="34" s="1"/>
  <c r="AZ18" i="34"/>
  <c r="AY18" i="34"/>
  <c r="BP17" i="34"/>
  <c r="BO17" i="34"/>
  <c r="BN17" i="34"/>
  <c r="BM17" i="34"/>
  <c r="BL17" i="34"/>
  <c r="BB17" i="34"/>
  <c r="BD17" i="34" s="1"/>
  <c r="BA17" i="34"/>
  <c r="AZ17" i="34"/>
  <c r="BC17" i="34" s="1"/>
  <c r="AY17" i="34"/>
  <c r="AB17" i="34"/>
  <c r="BP16" i="34"/>
  <c r="BO16" i="34"/>
  <c r="BN16" i="34"/>
  <c r="BM16" i="34"/>
  <c r="BL16" i="34"/>
  <c r="BB16" i="34"/>
  <c r="BD16" i="34" s="1"/>
  <c r="BA16" i="34"/>
  <c r="AZ16" i="34"/>
  <c r="AY16" i="34"/>
  <c r="BP15" i="34"/>
  <c r="BO15" i="34"/>
  <c r="BN15" i="34"/>
  <c r="BM15" i="34"/>
  <c r="BL15" i="34"/>
  <c r="BQ15" i="34" s="1"/>
  <c r="BB15" i="34"/>
  <c r="BD15" i="34" s="1"/>
  <c r="BA15" i="34"/>
  <c r="AZ15" i="34"/>
  <c r="AY15" i="34"/>
  <c r="AP15" i="34"/>
  <c r="AP16" i="34" s="1"/>
  <c r="AP17" i="34" s="1"/>
  <c r="AP18" i="34" s="1"/>
  <c r="AP19" i="34" s="1"/>
  <c r="AP20" i="34" s="1"/>
  <c r="AP21" i="34" s="1"/>
  <c r="AP22" i="34" s="1"/>
  <c r="AP23" i="34" s="1"/>
  <c r="AP24" i="34" s="1"/>
  <c r="AP25" i="34" s="1"/>
  <c r="AP26" i="34" s="1"/>
  <c r="AP27" i="34" s="1"/>
  <c r="AP28" i="34" s="1"/>
  <c r="AP29" i="34" s="1"/>
  <c r="AP30" i="34" s="1"/>
  <c r="AP31" i="34" s="1"/>
  <c r="AP32" i="34" s="1"/>
  <c r="AP33" i="34" s="1"/>
  <c r="AP34" i="34" s="1"/>
  <c r="AP35" i="34" s="1"/>
  <c r="AP36" i="34" s="1"/>
  <c r="AP37" i="34" s="1"/>
  <c r="AP38" i="34" s="1"/>
  <c r="AP39" i="34" s="1"/>
  <c r="AP40" i="34" s="1"/>
  <c r="AP41" i="34" s="1"/>
  <c r="AP42" i="34" s="1"/>
  <c r="AP43" i="34" s="1"/>
  <c r="AP44" i="34" s="1"/>
  <c r="AP45" i="34" s="1"/>
  <c r="AP46" i="34" s="1"/>
  <c r="AB15" i="34"/>
  <c r="AB16" i="34" s="1"/>
  <c r="BP14" i="34"/>
  <c r="BO14" i="34"/>
  <c r="BN14" i="34"/>
  <c r="BM14" i="34"/>
  <c r="BL14" i="34"/>
  <c r="BQ14" i="34" s="1"/>
  <c r="AO14" i="34" s="1"/>
  <c r="BB14" i="34"/>
  <c r="BD14" i="34" s="1"/>
  <c r="BA14" i="34"/>
  <c r="AZ14" i="34"/>
  <c r="BC14" i="34" s="1"/>
  <c r="AY14" i="34"/>
  <c r="AP14" i="34"/>
  <c r="AB14" i="34"/>
  <c r="BP13" i="34"/>
  <c r="BO13" i="34"/>
  <c r="BN13" i="34"/>
  <c r="BM13" i="34"/>
  <c r="BL13" i="34"/>
  <c r="BD13" i="34"/>
  <c r="BB13" i="34"/>
  <c r="BA13" i="34"/>
  <c r="AZ13" i="34"/>
  <c r="AY13" i="34"/>
  <c r="BP11" i="34"/>
  <c r="BO11" i="34"/>
  <c r="BN11" i="34"/>
  <c r="BM11" i="34"/>
  <c r="BL11" i="34"/>
  <c r="BP10" i="34"/>
  <c r="BO10" i="34"/>
  <c r="BN10" i="34"/>
  <c r="BM10" i="34"/>
  <c r="BL10" i="34"/>
  <c r="Z8" i="34"/>
  <c r="J8" i="34"/>
  <c r="AC7" i="34"/>
  <c r="F25" i="34" s="1"/>
  <c r="G7" i="34"/>
  <c r="F10" i="34" s="1"/>
  <c r="B20" i="34" s="1"/>
  <c r="D6" i="34"/>
  <c r="G4" i="34"/>
  <c r="K4" i="34" s="1"/>
  <c r="D3" i="34"/>
  <c r="BP46" i="35"/>
  <c r="BO46" i="35"/>
  <c r="BN46" i="35"/>
  <c r="BM46" i="35"/>
  <c r="BL46" i="35"/>
  <c r="BQ46" i="35" s="1"/>
  <c r="BB46" i="35"/>
  <c r="BD46" i="35" s="1"/>
  <c r="BA46" i="35"/>
  <c r="BC46" i="35" s="1"/>
  <c r="AZ46" i="35"/>
  <c r="AY46" i="35"/>
  <c r="BP45" i="35"/>
  <c r="BO45" i="35"/>
  <c r="BN45" i="35"/>
  <c r="BM45" i="35"/>
  <c r="BL45" i="35"/>
  <c r="BQ45" i="35" s="1"/>
  <c r="BB45" i="35"/>
  <c r="BD45" i="35" s="1"/>
  <c r="BA45" i="35"/>
  <c r="BC45" i="35" s="1"/>
  <c r="AZ45" i="35"/>
  <c r="AY45" i="35"/>
  <c r="BP44" i="35"/>
  <c r="BO44" i="35"/>
  <c r="BN44" i="35"/>
  <c r="BM44" i="35"/>
  <c r="BL44" i="35"/>
  <c r="BQ44" i="35" s="1"/>
  <c r="BB44" i="35"/>
  <c r="BD44" i="35" s="1"/>
  <c r="BA44" i="35"/>
  <c r="BC44" i="35" s="1"/>
  <c r="AZ44" i="35"/>
  <c r="AY44" i="35"/>
  <c r="BP43" i="35"/>
  <c r="BO43" i="35"/>
  <c r="BN43" i="35"/>
  <c r="BM43" i="35"/>
  <c r="BL43" i="35"/>
  <c r="BQ43" i="35" s="1"/>
  <c r="BB43" i="35"/>
  <c r="BD43" i="35" s="1"/>
  <c r="BA43" i="35"/>
  <c r="BC43" i="35" s="1"/>
  <c r="AZ43" i="35"/>
  <c r="AY43" i="35"/>
  <c r="BP42" i="35"/>
  <c r="BO42" i="35"/>
  <c r="BN42" i="35"/>
  <c r="BM42" i="35"/>
  <c r="BL42" i="35"/>
  <c r="BQ42" i="35" s="1"/>
  <c r="BB42" i="35"/>
  <c r="BD42" i="35" s="1"/>
  <c r="BA42" i="35"/>
  <c r="BC42" i="35" s="1"/>
  <c r="AZ42" i="35"/>
  <c r="AY42" i="35"/>
  <c r="BP41" i="35"/>
  <c r="BO41" i="35"/>
  <c r="BN41" i="35"/>
  <c r="BM41" i="35"/>
  <c r="BL41" i="35"/>
  <c r="BQ41" i="35" s="1"/>
  <c r="BB41" i="35"/>
  <c r="BD41" i="35" s="1"/>
  <c r="BA41" i="35"/>
  <c r="BC41" i="35" s="1"/>
  <c r="AZ41" i="35"/>
  <c r="AY41" i="35"/>
  <c r="BP40" i="35"/>
  <c r="BO40" i="35"/>
  <c r="BN40" i="35"/>
  <c r="BM40" i="35"/>
  <c r="BL40" i="35"/>
  <c r="BQ40" i="35" s="1"/>
  <c r="BB40" i="35"/>
  <c r="BD40" i="35" s="1"/>
  <c r="BA40" i="35"/>
  <c r="BC40" i="35" s="1"/>
  <c r="AZ40" i="35"/>
  <c r="AY40" i="35"/>
  <c r="BP39" i="35"/>
  <c r="BO39" i="35"/>
  <c r="BN39" i="35"/>
  <c r="BM39" i="35"/>
  <c r="BL39" i="35"/>
  <c r="BQ39" i="35" s="1"/>
  <c r="BD39" i="35"/>
  <c r="BB39" i="35"/>
  <c r="BA39" i="35"/>
  <c r="AZ39" i="35"/>
  <c r="BC39" i="35" s="1"/>
  <c r="AY39" i="35"/>
  <c r="BP38" i="35"/>
  <c r="BO38" i="35"/>
  <c r="BQ38" i="35" s="1"/>
  <c r="BN38" i="35"/>
  <c r="BM38" i="35"/>
  <c r="BL38" i="35"/>
  <c r="BB38" i="35"/>
  <c r="BD38" i="35" s="1"/>
  <c r="BA38" i="35"/>
  <c r="AZ38" i="35"/>
  <c r="BC38" i="35" s="1"/>
  <c r="AY38" i="35"/>
  <c r="BP37" i="35"/>
  <c r="BO37" i="35"/>
  <c r="BN37" i="35"/>
  <c r="BM37" i="35"/>
  <c r="BL37" i="35"/>
  <c r="BQ37" i="35" s="1"/>
  <c r="BD37" i="35"/>
  <c r="BC37" i="35"/>
  <c r="BB37" i="35"/>
  <c r="BA37" i="35"/>
  <c r="AZ37" i="35"/>
  <c r="AY37" i="35"/>
  <c r="BP36" i="35"/>
  <c r="BO36" i="35"/>
  <c r="BN36" i="35"/>
  <c r="BM36" i="35"/>
  <c r="BL36" i="35"/>
  <c r="BQ36" i="35" s="1"/>
  <c r="BB36" i="35"/>
  <c r="BD36" i="35" s="1"/>
  <c r="BA36" i="35"/>
  <c r="AZ36" i="35"/>
  <c r="BC36" i="35" s="1"/>
  <c r="AY36" i="35"/>
  <c r="BP35" i="35"/>
  <c r="BO35" i="35"/>
  <c r="BN35" i="35"/>
  <c r="BM35" i="35"/>
  <c r="BL35" i="35"/>
  <c r="BQ35" i="35" s="1"/>
  <c r="BD35" i="35"/>
  <c r="BC35" i="35"/>
  <c r="BB35" i="35"/>
  <c r="BA35" i="35"/>
  <c r="AZ35" i="35"/>
  <c r="AY35" i="35"/>
  <c r="BP34" i="35"/>
  <c r="BO34" i="35"/>
  <c r="BN34" i="35"/>
  <c r="BM34" i="35"/>
  <c r="BL34" i="35"/>
  <c r="BQ34" i="35" s="1"/>
  <c r="BB34" i="35"/>
  <c r="BD34" i="35" s="1"/>
  <c r="BA34" i="35"/>
  <c r="AZ34" i="35"/>
  <c r="BC34" i="35" s="1"/>
  <c r="AY34" i="35"/>
  <c r="BP33" i="35"/>
  <c r="BO33" i="35"/>
  <c r="BN33" i="35"/>
  <c r="BM33" i="35"/>
  <c r="BL33" i="35"/>
  <c r="BQ33" i="35" s="1"/>
  <c r="BD33" i="35"/>
  <c r="BC33" i="35"/>
  <c r="BB33" i="35"/>
  <c r="BA33" i="35"/>
  <c r="AZ33" i="35"/>
  <c r="AY33" i="35"/>
  <c r="BP32" i="35"/>
  <c r="BO32" i="35"/>
  <c r="BN32" i="35"/>
  <c r="BM32" i="35"/>
  <c r="BL32" i="35"/>
  <c r="BQ32" i="35" s="1"/>
  <c r="BB32" i="35"/>
  <c r="BD32" i="35" s="1"/>
  <c r="BA32" i="35"/>
  <c r="AZ32" i="35"/>
  <c r="BC32" i="35" s="1"/>
  <c r="AY32" i="35"/>
  <c r="BP31" i="35"/>
  <c r="BO31" i="35"/>
  <c r="BN31" i="35"/>
  <c r="BM31" i="35"/>
  <c r="BL31" i="35"/>
  <c r="BQ31" i="35" s="1"/>
  <c r="BD31" i="35"/>
  <c r="BC31" i="35"/>
  <c r="BB31" i="35"/>
  <c r="BA31" i="35"/>
  <c r="AZ31" i="35"/>
  <c r="AY31" i="35"/>
  <c r="BP30" i="35"/>
  <c r="BO30" i="35"/>
  <c r="BN30" i="35"/>
  <c r="BM30" i="35"/>
  <c r="BL30" i="35"/>
  <c r="BQ30" i="35" s="1"/>
  <c r="BB30" i="35"/>
  <c r="BD30" i="35" s="1"/>
  <c r="BA30" i="35"/>
  <c r="AZ30" i="35"/>
  <c r="BC30" i="35" s="1"/>
  <c r="AY30" i="35"/>
  <c r="BP29" i="35"/>
  <c r="BO29" i="35"/>
  <c r="BN29" i="35"/>
  <c r="BM29" i="35"/>
  <c r="BL29" i="35"/>
  <c r="BQ29" i="35" s="1"/>
  <c r="BD29" i="35"/>
  <c r="BC29" i="35"/>
  <c r="BB29" i="35"/>
  <c r="BA29" i="35"/>
  <c r="AZ29" i="35"/>
  <c r="AY29" i="35"/>
  <c r="BP28" i="35"/>
  <c r="BO28" i="35"/>
  <c r="BN28" i="35"/>
  <c r="BM28" i="35"/>
  <c r="BL28" i="35"/>
  <c r="BQ28" i="35" s="1"/>
  <c r="BD28" i="35"/>
  <c r="BC28" i="35"/>
  <c r="BB28" i="35"/>
  <c r="BA28" i="35"/>
  <c r="AZ28" i="35"/>
  <c r="AY28" i="35"/>
  <c r="BP27" i="35"/>
  <c r="BO27" i="35"/>
  <c r="BN27" i="35"/>
  <c r="BM27" i="35"/>
  <c r="BL27" i="35"/>
  <c r="BQ27" i="35" s="1"/>
  <c r="BD27" i="35"/>
  <c r="BC27" i="35"/>
  <c r="BB27" i="35"/>
  <c r="BA27" i="35"/>
  <c r="AZ27" i="35"/>
  <c r="AY27" i="35"/>
  <c r="BP26" i="35"/>
  <c r="BO26" i="35"/>
  <c r="BN26" i="35"/>
  <c r="BM26" i="35"/>
  <c r="BL26" i="35"/>
  <c r="BQ26" i="35" s="1"/>
  <c r="BC26" i="35"/>
  <c r="BB26" i="35"/>
  <c r="BD26" i="35" s="1"/>
  <c r="BA26" i="35"/>
  <c r="AZ26" i="35"/>
  <c r="AY26" i="35"/>
  <c r="BP25" i="35"/>
  <c r="BO25" i="35"/>
  <c r="BN25" i="35"/>
  <c r="BM25" i="35"/>
  <c r="BL25" i="35"/>
  <c r="BQ25" i="35" s="1"/>
  <c r="BB25" i="35"/>
  <c r="BD25" i="35" s="1"/>
  <c r="BA25" i="35"/>
  <c r="BC25" i="35" s="1"/>
  <c r="AZ25" i="35"/>
  <c r="AY25" i="35"/>
  <c r="BP24" i="35"/>
  <c r="BO24" i="35"/>
  <c r="BN24" i="35"/>
  <c r="BM24" i="35"/>
  <c r="BL24" i="35"/>
  <c r="BQ24" i="35" s="1"/>
  <c r="BC24" i="35"/>
  <c r="BB24" i="35"/>
  <c r="BD24" i="35" s="1"/>
  <c r="BA24" i="35"/>
  <c r="AZ24" i="35"/>
  <c r="AY24" i="35"/>
  <c r="BP23" i="35"/>
  <c r="BO23" i="35"/>
  <c r="BN23" i="35"/>
  <c r="BM23" i="35"/>
  <c r="BL23" i="35"/>
  <c r="BQ23" i="35" s="1"/>
  <c r="BD23" i="35"/>
  <c r="BB23" i="35"/>
  <c r="BA23" i="35"/>
  <c r="BC23" i="35" s="1"/>
  <c r="AZ23" i="35"/>
  <c r="AY23" i="35"/>
  <c r="BP22" i="35"/>
  <c r="BO22" i="35"/>
  <c r="BN22" i="35"/>
  <c r="BM22" i="35"/>
  <c r="BQ22" i="35" s="1"/>
  <c r="BL22" i="35"/>
  <c r="BB22" i="35"/>
  <c r="BD22" i="35" s="1"/>
  <c r="BA22" i="35"/>
  <c r="AZ22" i="35"/>
  <c r="BC22" i="35" s="1"/>
  <c r="AY22" i="35"/>
  <c r="BP21" i="35"/>
  <c r="BO21" i="35"/>
  <c r="BN21" i="35"/>
  <c r="BM21" i="35"/>
  <c r="BL21" i="35"/>
  <c r="BB21" i="35"/>
  <c r="BD21" i="35" s="1"/>
  <c r="BA21" i="35"/>
  <c r="BC21" i="35" s="1"/>
  <c r="AZ21" i="35"/>
  <c r="AY21" i="35"/>
  <c r="BP20" i="35"/>
  <c r="BO20" i="35"/>
  <c r="BN20" i="35"/>
  <c r="BM20" i="35"/>
  <c r="BL20" i="35"/>
  <c r="BB20" i="35"/>
  <c r="BD20" i="35" s="1"/>
  <c r="BA20" i="35"/>
  <c r="AZ20" i="35"/>
  <c r="BC20" i="35" s="1"/>
  <c r="AY20" i="35"/>
  <c r="AB20" i="35"/>
  <c r="AB21" i="35" s="1"/>
  <c r="AB22" i="35" s="1"/>
  <c r="AB23" i="35" s="1"/>
  <c r="AB24" i="35" s="1"/>
  <c r="AB25" i="35" s="1"/>
  <c r="AB28" i="35" s="1"/>
  <c r="AB29" i="35" s="1"/>
  <c r="AB30" i="35" s="1"/>
  <c r="AB31" i="35" s="1"/>
  <c r="AB32" i="35" s="1"/>
  <c r="AB33" i="35" s="1"/>
  <c r="AB34" i="35" s="1"/>
  <c r="AB35" i="35" s="1"/>
  <c r="AB36" i="35" s="1"/>
  <c r="AB37" i="35" s="1"/>
  <c r="AB38" i="35" s="1"/>
  <c r="AB39" i="35" s="1"/>
  <c r="AB40" i="35" s="1"/>
  <c r="AB41" i="35" s="1"/>
  <c r="AB42" i="35" s="1"/>
  <c r="AB43" i="35" s="1"/>
  <c r="AB44" i="35" s="1"/>
  <c r="AB45" i="35" s="1"/>
  <c r="AB46" i="35" s="1"/>
  <c r="BP19" i="35"/>
  <c r="BO19" i="35"/>
  <c r="BN19" i="35"/>
  <c r="BM19" i="35"/>
  <c r="BL19" i="35"/>
  <c r="BD19" i="35"/>
  <c r="BB19" i="35"/>
  <c r="BA19" i="35"/>
  <c r="AZ19" i="35"/>
  <c r="AY19" i="35"/>
  <c r="AB19" i="35"/>
  <c r="BP18" i="35"/>
  <c r="BO18" i="35"/>
  <c r="BN18" i="35"/>
  <c r="BM18" i="35"/>
  <c r="BL18" i="35"/>
  <c r="BB18" i="35"/>
  <c r="BD18" i="35" s="1"/>
  <c r="BA18" i="35"/>
  <c r="AZ18" i="35"/>
  <c r="AY18" i="35"/>
  <c r="BP17" i="35"/>
  <c r="BO17" i="35"/>
  <c r="BN17" i="35"/>
  <c r="BM17" i="35"/>
  <c r="BL17" i="35"/>
  <c r="BQ17" i="35" s="1"/>
  <c r="BB17" i="35"/>
  <c r="BD17" i="35" s="1"/>
  <c r="BA17" i="35"/>
  <c r="AZ17" i="35"/>
  <c r="AY17" i="35"/>
  <c r="BP16" i="35"/>
  <c r="BO16" i="35"/>
  <c r="BN16" i="35"/>
  <c r="BM16" i="35"/>
  <c r="BL16" i="35"/>
  <c r="BB16" i="35"/>
  <c r="BD16" i="35" s="1"/>
  <c r="BA16" i="35"/>
  <c r="AZ16" i="35"/>
  <c r="BC16" i="35" s="1"/>
  <c r="AY16" i="35"/>
  <c r="BP15" i="35"/>
  <c r="BO15" i="35"/>
  <c r="BN15" i="35"/>
  <c r="BM15" i="35"/>
  <c r="BL15" i="35"/>
  <c r="BB15" i="35"/>
  <c r="BD15" i="35" s="1"/>
  <c r="BA15" i="35"/>
  <c r="AZ15" i="35"/>
  <c r="AY15" i="35"/>
  <c r="AB15" i="35"/>
  <c r="AB16" i="35" s="1"/>
  <c r="AB17" i="35" s="1"/>
  <c r="BP14" i="35"/>
  <c r="BO14" i="35"/>
  <c r="BN14" i="35"/>
  <c r="BM14" i="35"/>
  <c r="BL14" i="35"/>
  <c r="BB14" i="35"/>
  <c r="BD14" i="35" s="1"/>
  <c r="BA14" i="35"/>
  <c r="AZ14" i="35"/>
  <c r="AY14" i="35"/>
  <c r="AP14" i="35"/>
  <c r="AP15" i="35" s="1"/>
  <c r="AP16" i="35" s="1"/>
  <c r="AP17" i="35" s="1"/>
  <c r="AP18" i="35" s="1"/>
  <c r="AP19" i="35" s="1"/>
  <c r="AP20" i="35" s="1"/>
  <c r="AP21" i="35" s="1"/>
  <c r="AP22" i="35" s="1"/>
  <c r="AP23" i="35" s="1"/>
  <c r="AP24" i="35" s="1"/>
  <c r="AP25" i="35" s="1"/>
  <c r="AP26" i="35" s="1"/>
  <c r="AP27" i="35" s="1"/>
  <c r="AP28" i="35" s="1"/>
  <c r="AP29" i="35" s="1"/>
  <c r="AP30" i="35" s="1"/>
  <c r="AP31" i="35" s="1"/>
  <c r="AP32" i="35" s="1"/>
  <c r="AP33" i="35" s="1"/>
  <c r="AP34" i="35" s="1"/>
  <c r="AP35" i="35" s="1"/>
  <c r="AP36" i="35" s="1"/>
  <c r="AP37" i="35" s="1"/>
  <c r="AP38" i="35" s="1"/>
  <c r="AP39" i="35" s="1"/>
  <c r="AP40" i="35" s="1"/>
  <c r="AP41" i="35" s="1"/>
  <c r="AP42" i="35" s="1"/>
  <c r="AP43" i="35" s="1"/>
  <c r="AP44" i="35" s="1"/>
  <c r="AP45" i="35" s="1"/>
  <c r="AP46" i="35" s="1"/>
  <c r="AB14" i="35"/>
  <c r="BP13" i="35"/>
  <c r="BO13" i="35"/>
  <c r="BN13" i="35"/>
  <c r="BM13" i="35"/>
  <c r="BL13" i="35"/>
  <c r="BB13" i="35"/>
  <c r="BD13" i="35" s="1"/>
  <c r="BA13" i="35"/>
  <c r="AZ13" i="35"/>
  <c r="AY13" i="35"/>
  <c r="BP11" i="35"/>
  <c r="BO11" i="35"/>
  <c r="BN11" i="35"/>
  <c r="BM11" i="35"/>
  <c r="BL11" i="35"/>
  <c r="BP10" i="35"/>
  <c r="BO10" i="35"/>
  <c r="BN10" i="35"/>
  <c r="BM10" i="35"/>
  <c r="BL10" i="35"/>
  <c r="Z8" i="35"/>
  <c r="J8" i="35"/>
  <c r="AC7" i="35"/>
  <c r="F25" i="35" s="1"/>
  <c r="G7" i="35"/>
  <c r="F10" i="35" s="1"/>
  <c r="D6" i="35"/>
  <c r="G4" i="35"/>
  <c r="K4" i="35" s="1"/>
  <c r="D3" i="35"/>
  <c r="BE52" i="39" l="1"/>
  <c r="V47" i="39" s="1"/>
  <c r="L26" i="22"/>
  <c r="BQ21" i="32"/>
  <c r="BC19" i="32"/>
  <c r="BQ16" i="32"/>
  <c r="BC15" i="32"/>
  <c r="BQ13" i="32"/>
  <c r="AR16" i="33"/>
  <c r="BC16" i="33"/>
  <c r="BC15" i="33"/>
  <c r="BQ14" i="33"/>
  <c r="AO14" i="33" s="1"/>
  <c r="BC13" i="33"/>
  <c r="BQ24" i="34"/>
  <c r="BQ23" i="34"/>
  <c r="BC23" i="34"/>
  <c r="BQ21" i="34"/>
  <c r="BQ20" i="34"/>
  <c r="BC20" i="34"/>
  <c r="BC19" i="34"/>
  <c r="BQ18" i="34"/>
  <c r="BQ17" i="34"/>
  <c r="BC16" i="34"/>
  <c r="BQ15" i="35"/>
  <c r="BC14" i="35"/>
  <c r="X22" i="39"/>
  <c r="Y22" i="39"/>
  <c r="X33" i="39"/>
  <c r="X36" i="39"/>
  <c r="W18" i="39"/>
  <c r="W36" i="39"/>
  <c r="W33" i="39"/>
  <c r="X18" i="39"/>
  <c r="W19" i="39"/>
  <c r="W14" i="39"/>
  <c r="Y14" i="39"/>
  <c r="Y21" i="39"/>
  <c r="W21" i="39"/>
  <c r="X19" i="39"/>
  <c r="X38" i="39"/>
  <c r="W38" i="39"/>
  <c r="A447" i="24"/>
  <c r="C446" i="24"/>
  <c r="F446" i="24" s="1"/>
  <c r="C457" i="24"/>
  <c r="F457" i="24" s="1"/>
  <c r="A458" i="24"/>
  <c r="A335" i="24"/>
  <c r="BQ23" i="32"/>
  <c r="BQ17" i="32"/>
  <c r="AR17" i="32" s="1"/>
  <c r="BQ14" i="32"/>
  <c r="AO14" i="32" s="1"/>
  <c r="BC16" i="32"/>
  <c r="BQ19" i="32"/>
  <c r="BC17" i="32"/>
  <c r="BQ19" i="33"/>
  <c r="AO19" i="33" s="1"/>
  <c r="BQ21" i="33"/>
  <c r="BC17" i="33"/>
  <c r="BC13" i="34"/>
  <c r="BQ14" i="35"/>
  <c r="BC17" i="35"/>
  <c r="BC13" i="35"/>
  <c r="BQ19" i="35"/>
  <c r="BC15" i="35"/>
  <c r="BQ16" i="35"/>
  <c r="G47" i="39"/>
  <c r="BQ22" i="32"/>
  <c r="BQ20" i="32"/>
  <c r="AR20" i="32" s="1"/>
  <c r="BQ18" i="32"/>
  <c r="AO18" i="32" s="1"/>
  <c r="BQ15" i="32"/>
  <c r="AR15" i="32" s="1"/>
  <c r="BC14" i="32"/>
  <c r="BQ22" i="33"/>
  <c r="BQ20" i="33"/>
  <c r="BQ18" i="33"/>
  <c r="AO18" i="33" s="1"/>
  <c r="BQ17" i="33"/>
  <c r="AO17" i="33" s="1"/>
  <c r="BQ15" i="33"/>
  <c r="AO15" i="33" s="1"/>
  <c r="AR14" i="33"/>
  <c r="BC14" i="33"/>
  <c r="BQ13" i="33"/>
  <c r="AO13" i="33" s="1"/>
  <c r="BQ19" i="34"/>
  <c r="AR19" i="34" s="1"/>
  <c r="BQ16" i="34"/>
  <c r="AO16" i="34" s="1"/>
  <c r="BC15" i="34"/>
  <c r="BQ13" i="34"/>
  <c r="AR13" i="34" s="1"/>
  <c r="BQ21" i="35"/>
  <c r="AR21" i="35" s="1"/>
  <c r="BQ20" i="35"/>
  <c r="AR20" i="35" s="1"/>
  <c r="BC19" i="35"/>
  <c r="BQ18" i="35"/>
  <c r="AO18" i="35" s="1"/>
  <c r="BC18" i="35"/>
  <c r="BQ13" i="35"/>
  <c r="AR13" i="35" s="1"/>
  <c r="C389" i="24"/>
  <c r="AT20" i="34"/>
  <c r="V20" i="34" s="1"/>
  <c r="D382" i="24" s="1"/>
  <c r="G382" i="24" s="1"/>
  <c r="B382" i="24"/>
  <c r="A391" i="24"/>
  <c r="C390" i="24"/>
  <c r="A368" i="24"/>
  <c r="C367" i="24"/>
  <c r="A347" i="24"/>
  <c r="C346" i="24"/>
  <c r="A379" i="24"/>
  <c r="C378" i="24"/>
  <c r="A336" i="24"/>
  <c r="C335" i="24"/>
  <c r="A356" i="24"/>
  <c r="C355" i="24"/>
  <c r="C399" i="24"/>
  <c r="A400" i="24"/>
  <c r="C432" i="24"/>
  <c r="A433" i="24"/>
  <c r="C410" i="24"/>
  <c r="A411" i="24"/>
  <c r="A423" i="24"/>
  <c r="C422" i="24"/>
  <c r="B39" i="34"/>
  <c r="E35" i="34"/>
  <c r="E17" i="33"/>
  <c r="B39" i="32"/>
  <c r="E37" i="32"/>
  <c r="B32" i="32"/>
  <c r="E39" i="32"/>
  <c r="E31" i="32"/>
  <c r="B38" i="32"/>
  <c r="B36" i="32"/>
  <c r="B34" i="32"/>
  <c r="E33" i="32"/>
  <c r="I40" i="32"/>
  <c r="E35" i="32"/>
  <c r="B30" i="32"/>
  <c r="AR45" i="32"/>
  <c r="AO45" i="32"/>
  <c r="AO33" i="32"/>
  <c r="AR33" i="32"/>
  <c r="AO36" i="32"/>
  <c r="AR36" i="32"/>
  <c r="AR38" i="32"/>
  <c r="AO38" i="32"/>
  <c r="AO46" i="32"/>
  <c r="AR46" i="32"/>
  <c r="AO17" i="32"/>
  <c r="AR39" i="32"/>
  <c r="AO39" i="32"/>
  <c r="AR21" i="32"/>
  <c r="AO21" i="32"/>
  <c r="AR28" i="32"/>
  <c r="AO28" i="32"/>
  <c r="AR31" i="32"/>
  <c r="AO31" i="32"/>
  <c r="AO42" i="32"/>
  <c r="AR42" i="32"/>
  <c r="AR13" i="32"/>
  <c r="AO13" i="32"/>
  <c r="AO44" i="32"/>
  <c r="AR44" i="32"/>
  <c r="AR35" i="32"/>
  <c r="AO35" i="32"/>
  <c r="AR25" i="32"/>
  <c r="AO25" i="32"/>
  <c r="AO34" i="32"/>
  <c r="AR34" i="32"/>
  <c r="AO43" i="32"/>
  <c r="AR43" i="32"/>
  <c r="AR14" i="32"/>
  <c r="AO27" i="32"/>
  <c r="AR27" i="32"/>
  <c r="AR19" i="32"/>
  <c r="AO19" i="32"/>
  <c r="AR16" i="32"/>
  <c r="AO16" i="32"/>
  <c r="AO29" i="32"/>
  <c r="AR29" i="32"/>
  <c r="AO32" i="32"/>
  <c r="AR32" i="32"/>
  <c r="AR22" i="32"/>
  <c r="AR23" i="32" s="1"/>
  <c r="AO22" i="32"/>
  <c r="AO23" i="32" s="1"/>
  <c r="AR37" i="32"/>
  <c r="AO37" i="32"/>
  <c r="AO30" i="32"/>
  <c r="AR30" i="32"/>
  <c r="AO24" i="32"/>
  <c r="AR24" i="32"/>
  <c r="E23" i="32"/>
  <c r="E21" i="32"/>
  <c r="E19" i="32"/>
  <c r="B17" i="32"/>
  <c r="B15" i="32"/>
  <c r="E18" i="32"/>
  <c r="E14" i="32"/>
  <c r="B23" i="32"/>
  <c r="B21" i="32"/>
  <c r="B19" i="32"/>
  <c r="E15" i="32"/>
  <c r="N24" i="32"/>
  <c r="E22" i="32"/>
  <c r="E20" i="32"/>
  <c r="B20" i="32"/>
  <c r="B18" i="32"/>
  <c r="B16" i="32"/>
  <c r="B14" i="32"/>
  <c r="B22" i="32"/>
  <c r="E17" i="32"/>
  <c r="E16" i="32"/>
  <c r="I24" i="32"/>
  <c r="AO26" i="32"/>
  <c r="AR26" i="32"/>
  <c r="AO41" i="32"/>
  <c r="AR41" i="32"/>
  <c r="AO40" i="32"/>
  <c r="AR40" i="32"/>
  <c r="E30" i="32"/>
  <c r="N40" i="32"/>
  <c r="E32" i="32"/>
  <c r="E38" i="32"/>
  <c r="E34" i="32"/>
  <c r="E36" i="32"/>
  <c r="B31" i="32"/>
  <c r="B33" i="32"/>
  <c r="B35" i="32"/>
  <c r="B37" i="32"/>
  <c r="B39" i="33"/>
  <c r="E39" i="33"/>
  <c r="B36" i="33"/>
  <c r="E33" i="33"/>
  <c r="E37" i="33"/>
  <c r="B34" i="33"/>
  <c r="E31" i="33"/>
  <c r="E35" i="33"/>
  <c r="B30" i="33"/>
  <c r="I40" i="33"/>
  <c r="B38" i="33"/>
  <c r="B32" i="33"/>
  <c r="AR27" i="33"/>
  <c r="AO27" i="33"/>
  <c r="AO33" i="33"/>
  <c r="AR33" i="33"/>
  <c r="AR39" i="33"/>
  <c r="AO39" i="33"/>
  <c r="AR26" i="33"/>
  <c r="AO26" i="33"/>
  <c r="AO35" i="33"/>
  <c r="AR35" i="33"/>
  <c r="AR22" i="33"/>
  <c r="AO22" i="33"/>
  <c r="AO31" i="33"/>
  <c r="AR31" i="33"/>
  <c r="AO46" i="33"/>
  <c r="AR46" i="33"/>
  <c r="AR45" i="33"/>
  <c r="AO45" i="33"/>
  <c r="AR20" i="33"/>
  <c r="AO20" i="33"/>
  <c r="AO44" i="33"/>
  <c r="AR44" i="33"/>
  <c r="AO38" i="33"/>
  <c r="AR38" i="33"/>
  <c r="AR25" i="33"/>
  <c r="AO25" i="33"/>
  <c r="AR42" i="33"/>
  <c r="AO42" i="33"/>
  <c r="E23" i="33"/>
  <c r="E21" i="33"/>
  <c r="E19" i="33"/>
  <c r="B17" i="33"/>
  <c r="B15" i="33"/>
  <c r="B16" i="33"/>
  <c r="I24" i="33"/>
  <c r="B22" i="33"/>
  <c r="B20" i="33"/>
  <c r="B23" i="33"/>
  <c r="B21" i="33"/>
  <c r="B19" i="33"/>
  <c r="E20" i="33"/>
  <c r="B14" i="33"/>
  <c r="E18" i="33"/>
  <c r="E14" i="33"/>
  <c r="E16" i="33"/>
  <c r="N24" i="33"/>
  <c r="E22" i="33"/>
  <c r="B18" i="33"/>
  <c r="AO41" i="33"/>
  <c r="AR41" i="33"/>
  <c r="AR28" i="33"/>
  <c r="AO28" i="33"/>
  <c r="AR34" i="33"/>
  <c r="AO34" i="33"/>
  <c r="AO43" i="33"/>
  <c r="AR43" i="33"/>
  <c r="AR21" i="33"/>
  <c r="AO21" i="33"/>
  <c r="AR37" i="33"/>
  <c r="AO37" i="33"/>
  <c r="AO24" i="33"/>
  <c r="AR24" i="33"/>
  <c r="AO36" i="33"/>
  <c r="AR36" i="33"/>
  <c r="AR29" i="33"/>
  <c r="AO29" i="33"/>
  <c r="AR23" i="33"/>
  <c r="AO23" i="33"/>
  <c r="AR30" i="33"/>
  <c r="AR40" i="33"/>
  <c r="AO40" i="33"/>
  <c r="E38" i="33"/>
  <c r="E34" i="33"/>
  <c r="E36" i="33"/>
  <c r="E30" i="33"/>
  <c r="E32" i="33"/>
  <c r="N40" i="33"/>
  <c r="B31" i="33"/>
  <c r="B33" i="33"/>
  <c r="B35" i="33"/>
  <c r="B37" i="33"/>
  <c r="B30" i="34"/>
  <c r="E37" i="34"/>
  <c r="B38" i="34"/>
  <c r="E31" i="34"/>
  <c r="B34" i="34"/>
  <c r="E33" i="34"/>
  <c r="B36" i="34"/>
  <c r="I40" i="34"/>
  <c r="B32" i="34"/>
  <c r="E39" i="34"/>
  <c r="AR35" i="34"/>
  <c r="AO35" i="34"/>
  <c r="AO19" i="34"/>
  <c r="AR37" i="34"/>
  <c r="AO37" i="34"/>
  <c r="AR23" i="34"/>
  <c r="AO23" i="34"/>
  <c r="AR17" i="34"/>
  <c r="AO17" i="34"/>
  <c r="AR31" i="34"/>
  <c r="AO31" i="34"/>
  <c r="AR39" i="34"/>
  <c r="AO39" i="34"/>
  <c r="AR33" i="34"/>
  <c r="AO33" i="34"/>
  <c r="AO29" i="34"/>
  <c r="AR29" i="34"/>
  <c r="AR15" i="34"/>
  <c r="AO15" i="34"/>
  <c r="AR28" i="34"/>
  <c r="AO28" i="34"/>
  <c r="AR21" i="34"/>
  <c r="AO21" i="34"/>
  <c r="AR27" i="34"/>
  <c r="AO27" i="34"/>
  <c r="AR26" i="34"/>
  <c r="AO26" i="34"/>
  <c r="I24" i="34"/>
  <c r="E17" i="34"/>
  <c r="E15" i="34"/>
  <c r="AR40" i="34"/>
  <c r="AO40" i="34"/>
  <c r="B14" i="34"/>
  <c r="AR16" i="34"/>
  <c r="AR22" i="34"/>
  <c r="AO22" i="34"/>
  <c r="AR45" i="34"/>
  <c r="AO45" i="34"/>
  <c r="AR18" i="34"/>
  <c r="AO18" i="34"/>
  <c r="B22" i="34"/>
  <c r="AR25" i="34"/>
  <c r="AO25" i="34"/>
  <c r="AR24" i="34"/>
  <c r="AO24" i="34"/>
  <c r="AO46" i="34"/>
  <c r="AR46" i="34"/>
  <c r="AR14" i="34"/>
  <c r="E23" i="34"/>
  <c r="E21" i="34"/>
  <c r="E19" i="34"/>
  <c r="B17" i="34"/>
  <c r="B15" i="34"/>
  <c r="E18" i="34"/>
  <c r="E14" i="34"/>
  <c r="E22" i="34"/>
  <c r="B23" i="34"/>
  <c r="B21" i="34"/>
  <c r="B19" i="34"/>
  <c r="E16" i="34"/>
  <c r="E20" i="34"/>
  <c r="B16" i="34"/>
  <c r="N24" i="34"/>
  <c r="B18" i="34"/>
  <c r="AR41" i="34"/>
  <c r="AO41" i="34"/>
  <c r="AR44" i="34"/>
  <c r="AO44" i="34"/>
  <c r="AR43" i="34"/>
  <c r="AO43" i="34"/>
  <c r="AR20" i="34"/>
  <c r="AO20" i="34"/>
  <c r="BQ42" i="34"/>
  <c r="E30" i="34"/>
  <c r="E34" i="34"/>
  <c r="E36" i="34"/>
  <c r="N40" i="34"/>
  <c r="E32" i="34"/>
  <c r="E38" i="34"/>
  <c r="B31" i="34"/>
  <c r="B33" i="34"/>
  <c r="B35" i="34"/>
  <c r="B37" i="34"/>
  <c r="AR35" i="35"/>
  <c r="AO35" i="35"/>
  <c r="AR40" i="35"/>
  <c r="AO40" i="35"/>
  <c r="AO32" i="35"/>
  <c r="AR32" i="35"/>
  <c r="AR33" i="35"/>
  <c r="AO33" i="35"/>
  <c r="AR42" i="35"/>
  <c r="AO42" i="35"/>
  <c r="AR17" i="35"/>
  <c r="AO17" i="35"/>
  <c r="AO14" i="35"/>
  <c r="AR14" i="35"/>
  <c r="AO30" i="35"/>
  <c r="AR30" i="35"/>
  <c r="AR26" i="35"/>
  <c r="AO26" i="35"/>
  <c r="AR37" i="35"/>
  <c r="AO37" i="35"/>
  <c r="AR44" i="35"/>
  <c r="AO44" i="35"/>
  <c r="AR45" i="35"/>
  <c r="AO45" i="35"/>
  <c r="AR24" i="35"/>
  <c r="AO24" i="35"/>
  <c r="AR29" i="35"/>
  <c r="AO29" i="35"/>
  <c r="AO34" i="35"/>
  <c r="AR34" i="35"/>
  <c r="AR23" i="35"/>
  <c r="AO23" i="35"/>
  <c r="AR46" i="35"/>
  <c r="AO46" i="35"/>
  <c r="B31" i="35"/>
  <c r="E39" i="35"/>
  <c r="E33" i="35"/>
  <c r="B35" i="35"/>
  <c r="E31" i="35"/>
  <c r="B37" i="35"/>
  <c r="B39" i="35"/>
  <c r="N40" i="35"/>
  <c r="E38" i="35"/>
  <c r="E36" i="35"/>
  <c r="E34" i="35"/>
  <c r="E32" i="35"/>
  <c r="E30" i="35"/>
  <c r="B33" i="35"/>
  <c r="I40" i="35"/>
  <c r="B38" i="35"/>
  <c r="B36" i="35"/>
  <c r="B34" i="35"/>
  <c r="B32" i="35"/>
  <c r="B30" i="35"/>
  <c r="E35" i="35"/>
  <c r="E37" i="35"/>
  <c r="AR27" i="35"/>
  <c r="AO27" i="35"/>
  <c r="AO38" i="35"/>
  <c r="AR38" i="35"/>
  <c r="AR15" i="35"/>
  <c r="AO15" i="35"/>
  <c r="AR39" i="35"/>
  <c r="AO39" i="35"/>
  <c r="AR19" i="35"/>
  <c r="AO19" i="35"/>
  <c r="AR31" i="35"/>
  <c r="AO31" i="35"/>
  <c r="AR43" i="35"/>
  <c r="AO43" i="35"/>
  <c r="AO16" i="35"/>
  <c r="AR16" i="35"/>
  <c r="AR25" i="35"/>
  <c r="AO25" i="35"/>
  <c r="AR28" i="35"/>
  <c r="AO28" i="35"/>
  <c r="AO36" i="35"/>
  <c r="AR36" i="35"/>
  <c r="AR41" i="35"/>
  <c r="AO41" i="35"/>
  <c r="B23" i="35"/>
  <c r="B21" i="35"/>
  <c r="B19" i="35"/>
  <c r="B17" i="35"/>
  <c r="E19" i="35"/>
  <c r="B15" i="35"/>
  <c r="E18" i="35"/>
  <c r="E16" i="35"/>
  <c r="E14" i="35"/>
  <c r="N24" i="35"/>
  <c r="E22" i="35"/>
  <c r="E20" i="35"/>
  <c r="B18" i="35"/>
  <c r="B16" i="35"/>
  <c r="B14" i="35"/>
  <c r="I24" i="35"/>
  <c r="B22" i="35"/>
  <c r="B20" i="35"/>
  <c r="E23" i="35"/>
  <c r="E17" i="35"/>
  <c r="E15" i="35"/>
  <c r="E21" i="35"/>
  <c r="AO22" i="35"/>
  <c r="AR22" i="35"/>
  <c r="D5" i="30"/>
  <c r="Q83" i="24"/>
  <c r="Q84" i="24"/>
  <c r="Q85" i="24"/>
  <c r="Q86" i="24"/>
  <c r="Q87" i="24"/>
  <c r="Q88" i="24"/>
  <c r="Q89" i="24"/>
  <c r="Q90" i="24"/>
  <c r="Q91" i="24"/>
  <c r="Q82" i="24"/>
  <c r="Q73" i="24"/>
  <c r="Q74" i="24"/>
  <c r="Q75" i="24"/>
  <c r="Q76" i="24"/>
  <c r="Q77" i="24"/>
  <c r="Q78" i="24"/>
  <c r="Q79" i="24"/>
  <c r="Q80" i="24"/>
  <c r="Q81" i="24"/>
  <c r="Q72" i="24"/>
  <c r="L99" i="24"/>
  <c r="P91" i="24" s="1"/>
  <c r="L98" i="24"/>
  <c r="P90" i="24" s="1"/>
  <c r="L97" i="24"/>
  <c r="P89" i="24" s="1"/>
  <c r="L96" i="24"/>
  <c r="P88" i="24" s="1"/>
  <c r="L95" i="24"/>
  <c r="P87" i="24" s="1"/>
  <c r="L94" i="24"/>
  <c r="P86" i="24" s="1"/>
  <c r="L93" i="24"/>
  <c r="P85" i="24" s="1"/>
  <c r="L92" i="24"/>
  <c r="L91" i="24"/>
  <c r="P83" i="24" s="1"/>
  <c r="L90" i="24"/>
  <c r="P82" i="24" s="1"/>
  <c r="L88" i="24"/>
  <c r="P81" i="24" s="1"/>
  <c r="L87" i="24"/>
  <c r="P80" i="24" s="1"/>
  <c r="L86" i="24"/>
  <c r="P79" i="24" s="1"/>
  <c r="L85" i="24"/>
  <c r="P78" i="24" s="1"/>
  <c r="L84" i="24"/>
  <c r="P77" i="24" s="1"/>
  <c r="L83" i="24"/>
  <c r="P76" i="24" s="1"/>
  <c r="L82" i="24"/>
  <c r="P75" i="24" s="1"/>
  <c r="L81" i="24"/>
  <c r="P74" i="24" s="1"/>
  <c r="L80" i="24"/>
  <c r="P73" i="24" s="1"/>
  <c r="L79" i="24"/>
  <c r="P72" i="24" s="1"/>
  <c r="L77" i="24"/>
  <c r="L76" i="24"/>
  <c r="L75" i="24"/>
  <c r="L74" i="24"/>
  <c r="L73" i="24"/>
  <c r="L72" i="24"/>
  <c r="L71" i="24"/>
  <c r="L70" i="24"/>
  <c r="L69" i="24"/>
  <c r="L68" i="24"/>
  <c r="L66" i="24"/>
  <c r="L65" i="24"/>
  <c r="L64" i="24"/>
  <c r="L63" i="24"/>
  <c r="L62" i="24"/>
  <c r="L61" i="24"/>
  <c r="L60" i="24"/>
  <c r="L59" i="24"/>
  <c r="L58" i="24"/>
  <c r="L57" i="24"/>
  <c r="L55" i="24"/>
  <c r="L54" i="24"/>
  <c r="L53" i="24"/>
  <c r="L52" i="24"/>
  <c r="L51" i="24"/>
  <c r="L50" i="24"/>
  <c r="L49" i="24"/>
  <c r="L48" i="24"/>
  <c r="L47" i="24"/>
  <c r="L46" i="24"/>
  <c r="L44" i="24"/>
  <c r="L43" i="24"/>
  <c r="L42" i="24"/>
  <c r="L41" i="24"/>
  <c r="L40" i="24"/>
  <c r="L39" i="24"/>
  <c r="L38" i="24"/>
  <c r="L37" i="24"/>
  <c r="L36" i="24"/>
  <c r="L35" i="24"/>
  <c r="L33" i="24"/>
  <c r="L32" i="24"/>
  <c r="L31" i="24"/>
  <c r="L30" i="24"/>
  <c r="L29" i="24"/>
  <c r="L28" i="24"/>
  <c r="L27" i="24"/>
  <c r="L26" i="24"/>
  <c r="L25" i="24"/>
  <c r="L24" i="24"/>
  <c r="K99" i="24"/>
  <c r="K98" i="24"/>
  <c r="K97" i="24"/>
  <c r="K96" i="24"/>
  <c r="K95" i="24"/>
  <c r="K94" i="24"/>
  <c r="K93" i="24"/>
  <c r="K92" i="24"/>
  <c r="K91" i="24"/>
  <c r="K90" i="24"/>
  <c r="K88" i="24"/>
  <c r="K87" i="24"/>
  <c r="K86" i="24"/>
  <c r="K85" i="24"/>
  <c r="K84" i="24"/>
  <c r="K83" i="24"/>
  <c r="K82" i="24"/>
  <c r="K81" i="24"/>
  <c r="K80" i="24"/>
  <c r="K79" i="24"/>
  <c r="K77" i="24"/>
  <c r="K76" i="24"/>
  <c r="K75" i="24"/>
  <c r="K74" i="24"/>
  <c r="K73" i="24"/>
  <c r="K72" i="24"/>
  <c r="K71" i="24"/>
  <c r="K70" i="24"/>
  <c r="K69" i="24"/>
  <c r="K68" i="24"/>
  <c r="K66" i="24"/>
  <c r="K65" i="24"/>
  <c r="K64" i="24"/>
  <c r="K63" i="24"/>
  <c r="K62" i="24"/>
  <c r="K61" i="24"/>
  <c r="K60" i="24"/>
  <c r="K59" i="24"/>
  <c r="K58" i="24"/>
  <c r="K57" i="24"/>
  <c r="K55" i="24"/>
  <c r="K54" i="24"/>
  <c r="K53" i="24"/>
  <c r="K52" i="24"/>
  <c r="K51" i="24"/>
  <c r="K50" i="24"/>
  <c r="K49" i="24"/>
  <c r="K48" i="24"/>
  <c r="K47" i="24"/>
  <c r="K46" i="24"/>
  <c r="K44" i="24"/>
  <c r="K43" i="24"/>
  <c r="K42" i="24"/>
  <c r="K41" i="24"/>
  <c r="K40" i="24"/>
  <c r="K39" i="24"/>
  <c r="K38" i="24"/>
  <c r="K37" i="24"/>
  <c r="K36" i="24"/>
  <c r="K35" i="24"/>
  <c r="K33" i="24"/>
  <c r="K32" i="24"/>
  <c r="K31" i="24"/>
  <c r="K30" i="24"/>
  <c r="K29" i="24"/>
  <c r="K28" i="24"/>
  <c r="K27" i="24"/>
  <c r="K26" i="24"/>
  <c r="K25" i="24"/>
  <c r="K24" i="24"/>
  <c r="J90" i="24"/>
  <c r="J91" i="24"/>
  <c r="J92" i="24" s="1"/>
  <c r="J93" i="24" s="1"/>
  <c r="J94" i="24" s="1"/>
  <c r="J95" i="24" s="1"/>
  <c r="J96" i="24" s="1"/>
  <c r="J97" i="24" s="1"/>
  <c r="J98" i="24" s="1"/>
  <c r="J99" i="24" s="1"/>
  <c r="J79" i="24"/>
  <c r="J80" i="24" s="1"/>
  <c r="J81" i="24" s="1"/>
  <c r="J82" i="24" s="1"/>
  <c r="J83" i="24" s="1"/>
  <c r="J84" i="24" s="1"/>
  <c r="J85" i="24" s="1"/>
  <c r="J86" i="24" s="1"/>
  <c r="J87" i="24" s="1"/>
  <c r="J88" i="24" s="1"/>
  <c r="C30" i="26"/>
  <c r="C31" i="26"/>
  <c r="AO20" i="32" l="1"/>
  <c r="AR18" i="32"/>
  <c r="AO15" i="32"/>
  <c r="AR19" i="33"/>
  <c r="AR18" i="33"/>
  <c r="AR17" i="33"/>
  <c r="AR15" i="33"/>
  <c r="AR13" i="33"/>
  <c r="A448" i="24"/>
  <c r="C447" i="24"/>
  <c r="F447" i="24" s="1"/>
  <c r="C458" i="24"/>
  <c r="F458" i="24" s="1"/>
  <c r="A459" i="24"/>
  <c r="AO13" i="34"/>
  <c r="AO20" i="35"/>
  <c r="AO21" i="35"/>
  <c r="AR18" i="35"/>
  <c r="AO13" i="35"/>
  <c r="AR52" i="32"/>
  <c r="L25" i="22" s="1"/>
  <c r="AR52" i="33"/>
  <c r="L24" i="22" s="1"/>
  <c r="AR52" i="35"/>
  <c r="L22" i="22" s="1"/>
  <c r="M90" i="24"/>
  <c r="M87" i="24"/>
  <c r="M84" i="24"/>
  <c r="M91" i="24"/>
  <c r="M79" i="24"/>
  <c r="M96" i="24"/>
  <c r="M97" i="24"/>
  <c r="M82" i="24"/>
  <c r="M83" i="24"/>
  <c r="M81" i="24"/>
  <c r="M92" i="24"/>
  <c r="M98" i="24"/>
  <c r="M85" i="24"/>
  <c r="M86" i="24"/>
  <c r="M93" i="24"/>
  <c r="P84" i="24"/>
  <c r="M80" i="24"/>
  <c r="M99" i="24"/>
  <c r="M88" i="24"/>
  <c r="M95" i="24"/>
  <c r="M94" i="24"/>
  <c r="AU20" i="34"/>
  <c r="Y20" i="34" s="1"/>
  <c r="AT32" i="35"/>
  <c r="AU32" i="35" s="1"/>
  <c r="B367" i="24"/>
  <c r="F367" i="24" s="1"/>
  <c r="AT33" i="33"/>
  <c r="V33" i="33" s="1"/>
  <c r="D412" i="24" s="1"/>
  <c r="G412" i="24" s="1"/>
  <c r="B412" i="24"/>
  <c r="AT36" i="32"/>
  <c r="V36" i="32" s="1"/>
  <c r="D437" i="24" s="1"/>
  <c r="G437" i="24" s="1"/>
  <c r="B437" i="24"/>
  <c r="AT31" i="35"/>
  <c r="V31" i="35" s="1"/>
  <c r="D366" i="24" s="1"/>
  <c r="G366" i="24" s="1"/>
  <c r="B366" i="24"/>
  <c r="F366" i="24" s="1"/>
  <c r="AT20" i="35"/>
  <c r="AU20" i="35" s="1"/>
  <c r="B360" i="24"/>
  <c r="A380" i="24"/>
  <c r="C379" i="24"/>
  <c r="AT19" i="34"/>
  <c r="V19" i="34" s="1"/>
  <c r="D381" i="24" s="1"/>
  <c r="G381" i="24" s="1"/>
  <c r="B381" i="24"/>
  <c r="AT21" i="32"/>
  <c r="AU21" i="32" s="1"/>
  <c r="B427" i="24"/>
  <c r="AT14" i="35"/>
  <c r="V14" i="35" s="1"/>
  <c r="D354" i="24" s="1"/>
  <c r="G354" i="24" s="1"/>
  <c r="B354" i="24"/>
  <c r="F354" i="24" s="1"/>
  <c r="AT32" i="34"/>
  <c r="V32" i="34" s="1"/>
  <c r="D389" i="24" s="1"/>
  <c r="G389" i="24" s="1"/>
  <c r="B389" i="24"/>
  <c r="F389" i="24" s="1"/>
  <c r="A348" i="24"/>
  <c r="C347" i="24"/>
  <c r="AT36" i="34"/>
  <c r="AU36" i="34" s="1"/>
  <c r="W36" i="34" s="1"/>
  <c r="B393" i="24"/>
  <c r="AT31" i="32"/>
  <c r="V31" i="32" s="1"/>
  <c r="D432" i="24" s="1"/>
  <c r="G432" i="24" s="1"/>
  <c r="B432" i="24"/>
  <c r="F432" i="24" s="1"/>
  <c r="AT15" i="32"/>
  <c r="AU15" i="32" s="1"/>
  <c r="B421" i="24"/>
  <c r="F421" i="24" s="1"/>
  <c r="A369" i="24"/>
  <c r="C368" i="24"/>
  <c r="AT18" i="34"/>
  <c r="V18" i="34" s="1"/>
  <c r="D380" i="24" s="1"/>
  <c r="G380" i="24" s="1"/>
  <c r="B380" i="24"/>
  <c r="AT23" i="33"/>
  <c r="AU23" i="33" s="1"/>
  <c r="B407" i="24"/>
  <c r="AT17" i="35"/>
  <c r="AU17" i="35" s="1"/>
  <c r="B357" i="24"/>
  <c r="AT22" i="33"/>
  <c r="AU22" i="33" s="1"/>
  <c r="B406" i="24"/>
  <c r="AT36" i="33"/>
  <c r="V36" i="33" s="1"/>
  <c r="D415" i="24" s="1"/>
  <c r="G415" i="24" s="1"/>
  <c r="B415" i="24"/>
  <c r="AT23" i="35"/>
  <c r="V23" i="35" s="1"/>
  <c r="D363" i="24" s="1"/>
  <c r="G363" i="24" s="1"/>
  <c r="B363" i="24"/>
  <c r="AT23" i="34"/>
  <c r="V23" i="34" s="1"/>
  <c r="D385" i="24" s="1"/>
  <c r="G385" i="24" s="1"/>
  <c r="B385" i="24"/>
  <c r="AT37" i="32"/>
  <c r="AU37" i="32" s="1"/>
  <c r="B438" i="24"/>
  <c r="AT33" i="32"/>
  <c r="V33" i="32" s="1"/>
  <c r="D434" i="24" s="1"/>
  <c r="G434" i="24" s="1"/>
  <c r="B434" i="24"/>
  <c r="AT15" i="34"/>
  <c r="AU15" i="34" s="1"/>
  <c r="B377" i="24"/>
  <c r="F377" i="24" s="1"/>
  <c r="AT34" i="34"/>
  <c r="AU34" i="34" s="1"/>
  <c r="Y34" i="34" s="1"/>
  <c r="B391" i="24"/>
  <c r="AT32" i="33"/>
  <c r="AU32" i="33" s="1"/>
  <c r="W32" i="33" s="1"/>
  <c r="B411" i="24"/>
  <c r="AT17" i="32"/>
  <c r="AU17" i="32" s="1"/>
  <c r="B423" i="24"/>
  <c r="AT39" i="34"/>
  <c r="B396" i="24"/>
  <c r="AT30" i="35"/>
  <c r="V30" i="35" s="1"/>
  <c r="D365" i="24" s="1"/>
  <c r="G365" i="24" s="1"/>
  <c r="B365" i="24"/>
  <c r="F365" i="24" s="1"/>
  <c r="AT20" i="32"/>
  <c r="V20" i="32" s="1"/>
  <c r="D426" i="24" s="1"/>
  <c r="G426" i="24" s="1"/>
  <c r="B426" i="24"/>
  <c r="AT34" i="33"/>
  <c r="V34" i="33" s="1"/>
  <c r="D413" i="24" s="1"/>
  <c r="G413" i="24" s="1"/>
  <c r="B413" i="24"/>
  <c r="A337" i="24"/>
  <c r="C336" i="24"/>
  <c r="AT34" i="35"/>
  <c r="AU34" i="35" s="1"/>
  <c r="B369" i="24"/>
  <c r="A424" i="24"/>
  <c r="C423" i="24"/>
  <c r="AT38" i="32"/>
  <c r="V38" i="32" s="1"/>
  <c r="D439" i="24" s="1"/>
  <c r="G439" i="24" s="1"/>
  <c r="B439" i="24"/>
  <c r="AT21" i="35"/>
  <c r="AU21" i="35" s="1"/>
  <c r="B361" i="24"/>
  <c r="A412" i="24"/>
  <c r="C411" i="24"/>
  <c r="AT19" i="32"/>
  <c r="V19" i="32" s="1"/>
  <c r="D425" i="24" s="1"/>
  <c r="G425" i="24" s="1"/>
  <c r="B425" i="24"/>
  <c r="AT21" i="34"/>
  <c r="V21" i="34" s="1"/>
  <c r="D383" i="24" s="1"/>
  <c r="G383" i="24" s="1"/>
  <c r="B383" i="24"/>
  <c r="AT32" i="32"/>
  <c r="AU32" i="32" s="1"/>
  <c r="Y32" i="32" s="1"/>
  <c r="B433" i="24"/>
  <c r="A434" i="24"/>
  <c r="C433" i="24"/>
  <c r="AT39" i="32"/>
  <c r="B440" i="24"/>
  <c r="AT37" i="34"/>
  <c r="V37" i="34" s="1"/>
  <c r="D394" i="24" s="1"/>
  <c r="G394" i="24" s="1"/>
  <c r="B394" i="24"/>
  <c r="AT17" i="34"/>
  <c r="AU17" i="34" s="1"/>
  <c r="B379" i="24"/>
  <c r="AT38" i="33"/>
  <c r="AU38" i="33" s="1"/>
  <c r="Y38" i="33" s="1"/>
  <c r="B417" i="24"/>
  <c r="AT22" i="32"/>
  <c r="AU22" i="32" s="1"/>
  <c r="B428" i="24"/>
  <c r="AT35" i="35"/>
  <c r="AU35" i="35" s="1"/>
  <c r="B370" i="24"/>
  <c r="AT21" i="33"/>
  <c r="AU21" i="33" s="1"/>
  <c r="B405" i="24"/>
  <c r="AT16" i="34"/>
  <c r="V16" i="34" s="1"/>
  <c r="D378" i="24" s="1"/>
  <c r="G378" i="24" s="1"/>
  <c r="B378" i="24"/>
  <c r="F378" i="24" s="1"/>
  <c r="AT31" i="33"/>
  <c r="V31" i="33" s="1"/>
  <c r="D410" i="24" s="1"/>
  <c r="G410" i="24" s="1"/>
  <c r="B410" i="24"/>
  <c r="F410" i="24" s="1"/>
  <c r="AT38" i="35"/>
  <c r="V38" i="35" s="1"/>
  <c r="D373" i="24" s="1"/>
  <c r="G373" i="24" s="1"/>
  <c r="B373" i="24"/>
  <c r="AT15" i="33"/>
  <c r="AU15" i="33" s="1"/>
  <c r="B399" i="24"/>
  <c r="F399" i="24" s="1"/>
  <c r="AT18" i="33"/>
  <c r="V18" i="33" s="1"/>
  <c r="D402" i="24" s="1"/>
  <c r="G402" i="24" s="1"/>
  <c r="B402" i="24"/>
  <c r="AT16" i="35"/>
  <c r="AU16" i="35" s="1"/>
  <c r="B356" i="24"/>
  <c r="A401" i="24"/>
  <c r="C400" i="24"/>
  <c r="AT39" i="35"/>
  <c r="AU39" i="35" s="1"/>
  <c r="B374" i="24"/>
  <c r="AT35" i="34"/>
  <c r="AU35" i="34" s="1"/>
  <c r="B392" i="24"/>
  <c r="AT38" i="34"/>
  <c r="V38" i="34" s="1"/>
  <c r="D395" i="24" s="1"/>
  <c r="G395" i="24" s="1"/>
  <c r="B395" i="24"/>
  <c r="AT14" i="33"/>
  <c r="AU14" i="33" s="1"/>
  <c r="B398" i="24"/>
  <c r="F398" i="24" s="1"/>
  <c r="AT14" i="32"/>
  <c r="AU14" i="32" s="1"/>
  <c r="B420" i="24"/>
  <c r="F420" i="24" s="1"/>
  <c r="AT30" i="32"/>
  <c r="V30" i="32" s="1"/>
  <c r="D431" i="24" s="1"/>
  <c r="G431" i="24" s="1"/>
  <c r="B431" i="24"/>
  <c r="F431" i="24" s="1"/>
  <c r="A357" i="24"/>
  <c r="C356" i="24"/>
  <c r="A392" i="24"/>
  <c r="C391" i="24"/>
  <c r="AT37" i="33"/>
  <c r="AU37" i="33" s="1"/>
  <c r="B416" i="24"/>
  <c r="AT34" i="32"/>
  <c r="V34" i="32" s="1"/>
  <c r="D435" i="24" s="1"/>
  <c r="G435" i="24" s="1"/>
  <c r="B435" i="24"/>
  <c r="AT36" i="35"/>
  <c r="AU36" i="35" s="1"/>
  <c r="B371" i="24"/>
  <c r="AT22" i="35"/>
  <c r="AU22" i="35" s="1"/>
  <c r="B362" i="24"/>
  <c r="AT17" i="33"/>
  <c r="V17" i="33" s="1"/>
  <c r="D401" i="24" s="1"/>
  <c r="G401" i="24" s="1"/>
  <c r="B401" i="24"/>
  <c r="AT37" i="35"/>
  <c r="V37" i="35" s="1"/>
  <c r="D372" i="24" s="1"/>
  <c r="G372" i="24" s="1"/>
  <c r="B372" i="24"/>
  <c r="AT33" i="34"/>
  <c r="V33" i="34" s="1"/>
  <c r="D390" i="24" s="1"/>
  <c r="G390" i="24" s="1"/>
  <c r="B390" i="24"/>
  <c r="F390" i="24" s="1"/>
  <c r="AT30" i="33"/>
  <c r="V30" i="33" s="1"/>
  <c r="D409" i="24" s="1"/>
  <c r="G409" i="24" s="1"/>
  <c r="B409" i="24"/>
  <c r="F409" i="24" s="1"/>
  <c r="AT16" i="32"/>
  <c r="AU16" i="32" s="1"/>
  <c r="B422" i="24"/>
  <c r="F422" i="24" s="1"/>
  <c r="AT15" i="35"/>
  <c r="AU15" i="35" s="1"/>
  <c r="B355" i="24"/>
  <c r="F355" i="24" s="1"/>
  <c r="AT35" i="33"/>
  <c r="V35" i="33" s="1"/>
  <c r="D414" i="24" s="1"/>
  <c r="G414" i="24" s="1"/>
  <c r="B414" i="24"/>
  <c r="AT20" i="33"/>
  <c r="AU20" i="33" s="1"/>
  <c r="B404" i="24"/>
  <c r="AT19" i="35"/>
  <c r="V19" i="35" s="1"/>
  <c r="D359" i="24" s="1"/>
  <c r="G359" i="24" s="1"/>
  <c r="B359" i="24"/>
  <c r="AT16" i="33"/>
  <c r="AU16" i="33" s="1"/>
  <c r="B400" i="24"/>
  <c r="AT33" i="35"/>
  <c r="AU33" i="35" s="1"/>
  <c r="B368" i="24"/>
  <c r="AT39" i="33"/>
  <c r="V39" i="33" s="1"/>
  <c r="D418" i="24" s="1"/>
  <c r="G418" i="24" s="1"/>
  <c r="B418" i="24"/>
  <c r="AT22" i="34"/>
  <c r="V22" i="34" s="1"/>
  <c r="D384" i="24" s="1"/>
  <c r="G384" i="24" s="1"/>
  <c r="B384" i="24"/>
  <c r="AT23" i="32"/>
  <c r="AU23" i="32" s="1"/>
  <c r="B429" i="24"/>
  <c r="AT35" i="32"/>
  <c r="AU35" i="32" s="1"/>
  <c r="B436" i="24"/>
  <c r="AT18" i="35"/>
  <c r="AU18" i="35" s="1"/>
  <c r="B358" i="24"/>
  <c r="AT31" i="34"/>
  <c r="AU31" i="34" s="1"/>
  <c r="B388" i="24"/>
  <c r="F388" i="24" s="1"/>
  <c r="AT14" i="34"/>
  <c r="AU14" i="34" s="1"/>
  <c r="B376" i="24"/>
  <c r="F376" i="24" s="1"/>
  <c r="AT30" i="34"/>
  <c r="AU30" i="34" s="1"/>
  <c r="Y30" i="34" s="1"/>
  <c r="B387" i="24"/>
  <c r="F387" i="24" s="1"/>
  <c r="AT19" i="33"/>
  <c r="AU19" i="33" s="1"/>
  <c r="B403" i="24"/>
  <c r="AT18" i="32"/>
  <c r="AU18" i="32" s="1"/>
  <c r="B424" i="24"/>
  <c r="AS52" i="32"/>
  <c r="AO52" i="32"/>
  <c r="J25" i="22" s="1"/>
  <c r="AS52" i="33"/>
  <c r="AO52" i="33"/>
  <c r="J24" i="22" s="1"/>
  <c r="AR42" i="34"/>
  <c r="AR52" i="34" s="1"/>
  <c r="L23" i="22" s="1"/>
  <c r="AO42" i="34"/>
  <c r="AO52" i="34" s="1"/>
  <c r="J23" i="22" s="1"/>
  <c r="AS52" i="34"/>
  <c r="AS52" i="35"/>
  <c r="AO52" i="35"/>
  <c r="J22" i="22" s="1"/>
  <c r="BP46" i="30"/>
  <c r="BO46" i="30"/>
  <c r="BN46" i="30"/>
  <c r="BM46" i="30"/>
  <c r="BL46" i="30"/>
  <c r="BD46" i="30"/>
  <c r="BB46" i="30"/>
  <c r="BA46" i="30"/>
  <c r="AZ46" i="30"/>
  <c r="BC46" i="30" s="1"/>
  <c r="AY46" i="30"/>
  <c r="BP45" i="30"/>
  <c r="BO45" i="30"/>
  <c r="BN45" i="30"/>
  <c r="BM45" i="30"/>
  <c r="BL45" i="30"/>
  <c r="BD45" i="30"/>
  <c r="BB45" i="30"/>
  <c r="BA45" i="30"/>
  <c r="AZ45" i="30"/>
  <c r="BC45" i="30" s="1"/>
  <c r="AY45" i="30"/>
  <c r="BP44" i="30"/>
  <c r="BO44" i="30"/>
  <c r="BN44" i="30"/>
  <c r="BM44" i="30"/>
  <c r="BL44" i="30"/>
  <c r="BQ44" i="30" s="1"/>
  <c r="AR44" i="30" s="1"/>
  <c r="BD44" i="30"/>
  <c r="BB44" i="30"/>
  <c r="BA44" i="30"/>
  <c r="AZ44" i="30"/>
  <c r="BC44" i="30" s="1"/>
  <c r="AY44" i="30"/>
  <c r="BP43" i="30"/>
  <c r="BO43" i="30"/>
  <c r="BN43" i="30"/>
  <c r="BM43" i="30"/>
  <c r="BL43" i="30"/>
  <c r="BD43" i="30"/>
  <c r="BB43" i="30"/>
  <c r="BA43" i="30"/>
  <c r="AZ43" i="30"/>
  <c r="BC43" i="30" s="1"/>
  <c r="AY43" i="30"/>
  <c r="BP42" i="30"/>
  <c r="BO42" i="30"/>
  <c r="BN42" i="30"/>
  <c r="BM42" i="30"/>
  <c r="BL42" i="30"/>
  <c r="BQ42" i="30" s="1"/>
  <c r="AR42" i="30" s="1"/>
  <c r="BD42" i="30"/>
  <c r="BB42" i="30"/>
  <c r="BA42" i="30"/>
  <c r="AZ42" i="30"/>
  <c r="BC42" i="30" s="1"/>
  <c r="AY42" i="30"/>
  <c r="BP41" i="30"/>
  <c r="BO41" i="30"/>
  <c r="BN41" i="30"/>
  <c r="BM41" i="30"/>
  <c r="BL41" i="30"/>
  <c r="BQ41" i="30" s="1"/>
  <c r="AR41" i="30" s="1"/>
  <c r="BD41" i="30"/>
  <c r="BB41" i="30"/>
  <c r="BA41" i="30"/>
  <c r="AZ41" i="30"/>
  <c r="BC41" i="30" s="1"/>
  <c r="AY41" i="30"/>
  <c r="BP40" i="30"/>
  <c r="BO40" i="30"/>
  <c r="BN40" i="30"/>
  <c r="BM40" i="30"/>
  <c r="BL40" i="30"/>
  <c r="BQ40" i="30" s="1"/>
  <c r="BD40" i="30"/>
  <c r="BB40" i="30"/>
  <c r="BA40" i="30"/>
  <c r="AZ40" i="30"/>
  <c r="BC40" i="30" s="1"/>
  <c r="AY40" i="30"/>
  <c r="AR40" i="30"/>
  <c r="AO40" i="30"/>
  <c r="BP39" i="30"/>
  <c r="BO39" i="30"/>
  <c r="BN39" i="30"/>
  <c r="BM39" i="30"/>
  <c r="BQ39" i="30" s="1"/>
  <c r="BL39" i="30"/>
  <c r="BB39" i="30"/>
  <c r="BD39" i="30" s="1"/>
  <c r="BA39" i="30"/>
  <c r="AZ39" i="30"/>
  <c r="BC39" i="30" s="1"/>
  <c r="AY39" i="30"/>
  <c r="BQ38" i="30"/>
  <c r="AR38" i="30" s="1"/>
  <c r="BP38" i="30"/>
  <c r="BO38" i="30"/>
  <c r="BN38" i="30"/>
  <c r="BM38" i="30"/>
  <c r="BL38" i="30"/>
  <c r="BB38" i="30"/>
  <c r="BD38" i="30" s="1"/>
  <c r="BA38" i="30"/>
  <c r="AZ38" i="30"/>
  <c r="AY38" i="30"/>
  <c r="BP37" i="30"/>
  <c r="BO37" i="30"/>
  <c r="BN37" i="30"/>
  <c r="BM37" i="30"/>
  <c r="BL37" i="30"/>
  <c r="BB37" i="30"/>
  <c r="BD37" i="30" s="1"/>
  <c r="BA37" i="30"/>
  <c r="AZ37" i="30"/>
  <c r="AY37" i="30"/>
  <c r="BP36" i="30"/>
  <c r="BO36" i="30"/>
  <c r="BN36" i="30"/>
  <c r="BQ36" i="30" s="1"/>
  <c r="BM36" i="30"/>
  <c r="BL36" i="30"/>
  <c r="BB36" i="30"/>
  <c r="BD36" i="30" s="1"/>
  <c r="BA36" i="30"/>
  <c r="AZ36" i="30"/>
  <c r="AY36" i="30"/>
  <c r="BP35" i="30"/>
  <c r="BO35" i="30"/>
  <c r="BN35" i="30"/>
  <c r="BM35" i="30"/>
  <c r="BL35" i="30"/>
  <c r="BB35" i="30"/>
  <c r="BD35" i="30" s="1"/>
  <c r="BA35" i="30"/>
  <c r="AZ35" i="30"/>
  <c r="BC35" i="30" s="1"/>
  <c r="AY35" i="30"/>
  <c r="BP34" i="30"/>
  <c r="BO34" i="30"/>
  <c r="BN34" i="30"/>
  <c r="BM34" i="30"/>
  <c r="BQ34" i="30" s="1"/>
  <c r="BL34" i="30"/>
  <c r="BB34" i="30"/>
  <c r="BD34" i="30" s="1"/>
  <c r="BA34" i="30"/>
  <c r="AZ34" i="30"/>
  <c r="AY34" i="30"/>
  <c r="BP33" i="30"/>
  <c r="BO33" i="30"/>
  <c r="BN33" i="30"/>
  <c r="BM33" i="30"/>
  <c r="BQ33" i="30" s="1"/>
  <c r="BL33" i="30"/>
  <c r="BB33" i="30"/>
  <c r="BD33" i="30" s="1"/>
  <c r="BA33" i="30"/>
  <c r="AZ33" i="30"/>
  <c r="BC33" i="30" s="1"/>
  <c r="AY33" i="30"/>
  <c r="BP32" i="30"/>
  <c r="BO32" i="30"/>
  <c r="BN32" i="30"/>
  <c r="BM32" i="30"/>
  <c r="BQ32" i="30" s="1"/>
  <c r="BL32" i="30"/>
  <c r="BB32" i="30"/>
  <c r="BD32" i="30" s="1"/>
  <c r="BA32" i="30"/>
  <c r="AZ32" i="30"/>
  <c r="BC32" i="30" s="1"/>
  <c r="AY32" i="30"/>
  <c r="BP31" i="30"/>
  <c r="BO31" i="30"/>
  <c r="BN31" i="30"/>
  <c r="BM31" i="30"/>
  <c r="BL31" i="30"/>
  <c r="BB31" i="30"/>
  <c r="BD31" i="30" s="1"/>
  <c r="BA31" i="30"/>
  <c r="AZ31" i="30"/>
  <c r="BC31" i="30" s="1"/>
  <c r="AY31" i="30"/>
  <c r="BP30" i="30"/>
  <c r="BO30" i="30"/>
  <c r="BN30" i="30"/>
  <c r="BQ30" i="30" s="1"/>
  <c r="BM30" i="30"/>
  <c r="BL30" i="30"/>
  <c r="BB30" i="30"/>
  <c r="BD30" i="30" s="1"/>
  <c r="BA30" i="30"/>
  <c r="AZ30" i="30"/>
  <c r="AY30" i="30"/>
  <c r="BP29" i="30"/>
  <c r="BO29" i="30"/>
  <c r="BN29" i="30"/>
  <c r="BM29" i="30"/>
  <c r="BL29" i="30"/>
  <c r="BB29" i="30"/>
  <c r="BD29" i="30" s="1"/>
  <c r="BA29" i="30"/>
  <c r="BC29" i="30" s="1"/>
  <c r="AZ29" i="30"/>
  <c r="AY29" i="30"/>
  <c r="BP28" i="30"/>
  <c r="BO28" i="30"/>
  <c r="BN28" i="30"/>
  <c r="BM28" i="30"/>
  <c r="BL28" i="30"/>
  <c r="BC28" i="30"/>
  <c r="BB28" i="30"/>
  <c r="BD28" i="30" s="1"/>
  <c r="BA28" i="30"/>
  <c r="AZ28" i="30"/>
  <c r="AY28" i="30"/>
  <c r="BP27" i="30"/>
  <c r="BO27" i="30"/>
  <c r="BN27" i="30"/>
  <c r="BM27" i="30"/>
  <c r="BL27" i="30"/>
  <c r="BB27" i="30"/>
  <c r="BD27" i="30" s="1"/>
  <c r="BA27" i="30"/>
  <c r="AZ27" i="30"/>
  <c r="BC27" i="30" s="1"/>
  <c r="AY27" i="30"/>
  <c r="BP26" i="30"/>
  <c r="BO26" i="30"/>
  <c r="BN26" i="30"/>
  <c r="BM26" i="30"/>
  <c r="BL26" i="30"/>
  <c r="BB26" i="30"/>
  <c r="BD26" i="30" s="1"/>
  <c r="BA26" i="30"/>
  <c r="AZ26" i="30"/>
  <c r="AY26" i="30"/>
  <c r="BP25" i="30"/>
  <c r="BO25" i="30"/>
  <c r="BN25" i="30"/>
  <c r="BM25" i="30"/>
  <c r="BL25" i="30"/>
  <c r="BQ25" i="30" s="1"/>
  <c r="AR25" i="30" s="1"/>
  <c r="BD25" i="30"/>
  <c r="BB25" i="30"/>
  <c r="BA25" i="30"/>
  <c r="AZ25" i="30"/>
  <c r="BC25" i="30" s="1"/>
  <c r="AY25" i="30"/>
  <c r="BP24" i="30"/>
  <c r="BO24" i="30"/>
  <c r="BN24" i="30"/>
  <c r="BM24" i="30"/>
  <c r="BL24" i="30"/>
  <c r="BQ24" i="30" s="1"/>
  <c r="AO24" i="30" s="1"/>
  <c r="BB24" i="30"/>
  <c r="BD24" i="30" s="1"/>
  <c r="BA24" i="30"/>
  <c r="AZ24" i="30"/>
  <c r="BC24" i="30" s="1"/>
  <c r="AY24" i="30"/>
  <c r="BP23" i="30"/>
  <c r="BO23" i="30"/>
  <c r="BN23" i="30"/>
  <c r="BM23" i="30"/>
  <c r="BL23" i="30"/>
  <c r="BB23" i="30"/>
  <c r="BD23" i="30" s="1"/>
  <c r="BA23" i="30"/>
  <c r="AZ23" i="30"/>
  <c r="BC23" i="30" s="1"/>
  <c r="AY23" i="30"/>
  <c r="BP22" i="30"/>
  <c r="BO22" i="30"/>
  <c r="BN22" i="30"/>
  <c r="BM22" i="30"/>
  <c r="BL22" i="30"/>
  <c r="BB22" i="30"/>
  <c r="BD22" i="30" s="1"/>
  <c r="BA22" i="30"/>
  <c r="AZ22" i="30"/>
  <c r="AY22" i="30"/>
  <c r="BP21" i="30"/>
  <c r="BO21" i="30"/>
  <c r="BN21" i="30"/>
  <c r="BM21" i="30"/>
  <c r="BL21" i="30"/>
  <c r="BB21" i="30"/>
  <c r="BD21" i="30" s="1"/>
  <c r="BA21" i="30"/>
  <c r="AZ21" i="30"/>
  <c r="AY21" i="30"/>
  <c r="BP20" i="30"/>
  <c r="BO20" i="30"/>
  <c r="BN20" i="30"/>
  <c r="BM20" i="30"/>
  <c r="BL20" i="30"/>
  <c r="BB20" i="30"/>
  <c r="BD20" i="30" s="1"/>
  <c r="BA20" i="30"/>
  <c r="BC20" i="30" s="1"/>
  <c r="AZ20" i="30"/>
  <c r="AY20" i="30"/>
  <c r="BP19" i="30"/>
  <c r="BO19" i="30"/>
  <c r="BN19" i="30"/>
  <c r="BM19" i="30"/>
  <c r="BL19" i="30"/>
  <c r="BB19" i="30"/>
  <c r="BD19" i="30" s="1"/>
  <c r="BA19" i="30"/>
  <c r="AZ19" i="30"/>
  <c r="BC19" i="30" s="1"/>
  <c r="AY19" i="30"/>
  <c r="AB19" i="30"/>
  <c r="AB20" i="30" s="1"/>
  <c r="AB21" i="30" s="1"/>
  <c r="AB22" i="30" s="1"/>
  <c r="AB23" i="30" s="1"/>
  <c r="AB24" i="30" s="1"/>
  <c r="AB25" i="30" s="1"/>
  <c r="AB28" i="30" s="1"/>
  <c r="AB29" i="30" s="1"/>
  <c r="AB30" i="30" s="1"/>
  <c r="AB31" i="30" s="1"/>
  <c r="AB32" i="30" s="1"/>
  <c r="AB33" i="30" s="1"/>
  <c r="AB34" i="30" s="1"/>
  <c r="AB35" i="30" s="1"/>
  <c r="AB36" i="30" s="1"/>
  <c r="AB37" i="30" s="1"/>
  <c r="AB38" i="30" s="1"/>
  <c r="AB39" i="30" s="1"/>
  <c r="AB40" i="30" s="1"/>
  <c r="AB41" i="30" s="1"/>
  <c r="AB42" i="30" s="1"/>
  <c r="AB43" i="30" s="1"/>
  <c r="AB44" i="30" s="1"/>
  <c r="AB45" i="30" s="1"/>
  <c r="AB46" i="30" s="1"/>
  <c r="BP18" i="30"/>
  <c r="BO18" i="30"/>
  <c r="BN18" i="30"/>
  <c r="BM18" i="30"/>
  <c r="BL18" i="30"/>
  <c r="BB18" i="30"/>
  <c r="BD18" i="30" s="1"/>
  <c r="BA18" i="30"/>
  <c r="AZ18" i="30"/>
  <c r="AY18" i="30"/>
  <c r="BP17" i="30"/>
  <c r="BO17" i="30"/>
  <c r="BN17" i="30"/>
  <c r="BM17" i="30"/>
  <c r="BL17" i="30"/>
  <c r="BB17" i="30"/>
  <c r="BD17" i="30" s="1"/>
  <c r="BA17" i="30"/>
  <c r="AZ17" i="30"/>
  <c r="AY17" i="30"/>
  <c r="BP16" i="30"/>
  <c r="BO16" i="30"/>
  <c r="BN16" i="30"/>
  <c r="BM16" i="30"/>
  <c r="BL16" i="30"/>
  <c r="BB16" i="30"/>
  <c r="BD16" i="30" s="1"/>
  <c r="BA16" i="30"/>
  <c r="AZ16" i="30"/>
  <c r="AY16" i="30"/>
  <c r="BP15" i="30"/>
  <c r="BO15" i="30"/>
  <c r="BN15" i="30"/>
  <c r="BM15" i="30"/>
  <c r="BL15" i="30"/>
  <c r="BB15" i="30"/>
  <c r="BD15" i="30" s="1"/>
  <c r="BA15" i="30"/>
  <c r="AZ15" i="30"/>
  <c r="AY15" i="30"/>
  <c r="AB15" i="30"/>
  <c r="AB16" i="30" s="1"/>
  <c r="AB17" i="30" s="1"/>
  <c r="BP14" i="30"/>
  <c r="BO14" i="30"/>
  <c r="BN14" i="30"/>
  <c r="BM14" i="30"/>
  <c r="BL14" i="30"/>
  <c r="BB14" i="30"/>
  <c r="BD14" i="30" s="1"/>
  <c r="BA14" i="30"/>
  <c r="AZ14" i="30"/>
  <c r="AY14" i="30"/>
  <c r="AP14" i="30"/>
  <c r="AP15" i="30" s="1"/>
  <c r="AP16" i="30" s="1"/>
  <c r="AP17" i="30" s="1"/>
  <c r="AP18" i="30" s="1"/>
  <c r="AP19" i="30" s="1"/>
  <c r="AP20" i="30" s="1"/>
  <c r="AP21" i="30" s="1"/>
  <c r="AP22" i="30" s="1"/>
  <c r="AP23" i="30" s="1"/>
  <c r="AP24" i="30" s="1"/>
  <c r="AP25" i="30" s="1"/>
  <c r="AP26" i="30" s="1"/>
  <c r="AP27" i="30" s="1"/>
  <c r="AP28" i="30" s="1"/>
  <c r="AP29" i="30" s="1"/>
  <c r="AP30" i="30" s="1"/>
  <c r="AP31" i="30" s="1"/>
  <c r="AP32" i="30" s="1"/>
  <c r="AP33" i="30" s="1"/>
  <c r="AP34" i="30" s="1"/>
  <c r="AP35" i="30" s="1"/>
  <c r="AP36" i="30" s="1"/>
  <c r="AP37" i="30" s="1"/>
  <c r="AP38" i="30" s="1"/>
  <c r="AP39" i="30" s="1"/>
  <c r="AP40" i="30" s="1"/>
  <c r="AP41" i="30" s="1"/>
  <c r="AP42" i="30" s="1"/>
  <c r="AP43" i="30" s="1"/>
  <c r="AP44" i="30" s="1"/>
  <c r="AP45" i="30" s="1"/>
  <c r="AP46" i="30" s="1"/>
  <c r="AB14" i="30"/>
  <c r="BP13" i="30"/>
  <c r="BO13" i="30"/>
  <c r="BN13" i="30"/>
  <c r="BM13" i="30"/>
  <c r="BL13" i="30"/>
  <c r="BB13" i="30"/>
  <c r="BD13" i="30" s="1"/>
  <c r="BA13" i="30"/>
  <c r="AZ13" i="30"/>
  <c r="BC13" i="30" s="1"/>
  <c r="AY13" i="30"/>
  <c r="BP11" i="30"/>
  <c r="BO11" i="30"/>
  <c r="BN11" i="30"/>
  <c r="BM11" i="30"/>
  <c r="BL11" i="30"/>
  <c r="BP10" i="30"/>
  <c r="BO10" i="30"/>
  <c r="BN10" i="30"/>
  <c r="BM10" i="30"/>
  <c r="BL10" i="30"/>
  <c r="Z8" i="30"/>
  <c r="J8" i="30"/>
  <c r="AC7" i="30"/>
  <c r="F25" i="30" s="1"/>
  <c r="G7" i="30"/>
  <c r="F10" i="30" s="1"/>
  <c r="D6" i="30"/>
  <c r="G4" i="30"/>
  <c r="K4" i="30" s="1"/>
  <c r="D3" i="30"/>
  <c r="AB45" i="8"/>
  <c r="D5" i="8"/>
  <c r="AB45" i="9"/>
  <c r="D5" i="9"/>
  <c r="AB45" i="10"/>
  <c r="D5" i="10"/>
  <c r="AB45" i="11"/>
  <c r="D5" i="11"/>
  <c r="AB45" i="12"/>
  <c r="D5" i="12"/>
  <c r="AB45" i="13"/>
  <c r="D5" i="13"/>
  <c r="AB45" i="14"/>
  <c r="D5" i="14"/>
  <c r="AB45" i="15"/>
  <c r="D5" i="15"/>
  <c r="AB45" i="16"/>
  <c r="D5" i="16"/>
  <c r="AB45" i="17"/>
  <c r="D5" i="17"/>
  <c r="AB45" i="18"/>
  <c r="D5" i="18"/>
  <c r="AB45" i="19"/>
  <c r="D5" i="19"/>
  <c r="AB45" i="20"/>
  <c r="D5" i="20"/>
  <c r="AB45" i="21"/>
  <c r="D5" i="21"/>
  <c r="D5" i="1"/>
  <c r="A1" i="25"/>
  <c r="R3" i="22"/>
  <c r="BE52" i="33" l="1"/>
  <c r="V47" i="33" s="1"/>
  <c r="BC14" i="30"/>
  <c r="C448" i="24"/>
  <c r="F448" i="24" s="1"/>
  <c r="A449" i="24"/>
  <c r="A460" i="24"/>
  <c r="C459" i="24"/>
  <c r="F459" i="24" s="1"/>
  <c r="BC17" i="30"/>
  <c r="BE52" i="32"/>
  <c r="V47" i="32" s="1"/>
  <c r="BE52" i="34"/>
  <c r="V47" i="34" s="1"/>
  <c r="BE52" i="35"/>
  <c r="V47" i="35" s="1"/>
  <c r="F423" i="24"/>
  <c r="AU33" i="33"/>
  <c r="W33" i="33" s="1"/>
  <c r="AU14" i="35"/>
  <c r="W14" i="35" s="1"/>
  <c r="W20" i="34"/>
  <c r="V23" i="33"/>
  <c r="D407" i="24" s="1"/>
  <c r="G407" i="24" s="1"/>
  <c r="V32" i="35"/>
  <c r="D367" i="24" s="1"/>
  <c r="G367" i="24" s="1"/>
  <c r="X20" i="34"/>
  <c r="V32" i="32"/>
  <c r="D433" i="24" s="1"/>
  <c r="G433" i="24" s="1"/>
  <c r="V15" i="34"/>
  <c r="D377" i="24" s="1"/>
  <c r="G377" i="24" s="1"/>
  <c r="F433" i="24"/>
  <c r="V34" i="35"/>
  <c r="D369" i="24" s="1"/>
  <c r="G369" i="24" s="1"/>
  <c r="AU31" i="33"/>
  <c r="W31" i="33" s="1"/>
  <c r="AU36" i="32"/>
  <c r="Y36" i="32" s="1"/>
  <c r="X34" i="34"/>
  <c r="V39" i="35"/>
  <c r="D374" i="24" s="1"/>
  <c r="G374" i="24" s="1"/>
  <c r="AU36" i="33"/>
  <c r="W36" i="33" s="1"/>
  <c r="F411" i="24"/>
  <c r="V32" i="33"/>
  <c r="D411" i="24" s="1"/>
  <c r="G411" i="24" s="1"/>
  <c r="F379" i="24"/>
  <c r="W34" i="34"/>
  <c r="F356" i="24"/>
  <c r="AU32" i="34"/>
  <c r="Y32" i="34" s="1"/>
  <c r="V17" i="35"/>
  <c r="D357" i="24" s="1"/>
  <c r="G357" i="24" s="1"/>
  <c r="AU33" i="32"/>
  <c r="W33" i="32" s="1"/>
  <c r="V14" i="34"/>
  <c r="D376" i="24" s="1"/>
  <c r="G376" i="24" s="1"/>
  <c r="AU18" i="34"/>
  <c r="X18" i="34" s="1"/>
  <c r="V35" i="34"/>
  <c r="D392" i="24" s="1"/>
  <c r="G392" i="24" s="1"/>
  <c r="V22" i="33"/>
  <c r="D406" i="24" s="1"/>
  <c r="G406" i="24" s="1"/>
  <c r="F368" i="24"/>
  <c r="V35" i="35"/>
  <c r="D370" i="24" s="1"/>
  <c r="G370" i="24" s="1"/>
  <c r="V15" i="33"/>
  <c r="D399" i="24" s="1"/>
  <c r="G399" i="24" s="1"/>
  <c r="AU19" i="32"/>
  <c r="W19" i="32" s="1"/>
  <c r="AU38" i="32"/>
  <c r="Y38" i="32" s="1"/>
  <c r="V14" i="32"/>
  <c r="D420" i="24" s="1"/>
  <c r="G420" i="24" s="1"/>
  <c r="AU19" i="35"/>
  <c r="W19" i="35" s="1"/>
  <c r="AU33" i="34"/>
  <c r="Y33" i="34" s="1"/>
  <c r="AU17" i="33"/>
  <c r="W17" i="33" s="1"/>
  <c r="AU34" i="33"/>
  <c r="Y34" i="33" s="1"/>
  <c r="V16" i="35"/>
  <c r="D356" i="24" s="1"/>
  <c r="G356" i="24" s="1"/>
  <c r="V31" i="34"/>
  <c r="D388" i="24" s="1"/>
  <c r="G388" i="24" s="1"/>
  <c r="AU21" i="34"/>
  <c r="W21" i="34" s="1"/>
  <c r="V19" i="33"/>
  <c r="D403" i="24" s="1"/>
  <c r="G403" i="24" s="1"/>
  <c r="AU31" i="32"/>
  <c r="Y31" i="32" s="1"/>
  <c r="V22" i="32"/>
  <c r="D428" i="24" s="1"/>
  <c r="G428" i="24" s="1"/>
  <c r="V36" i="34"/>
  <c r="D393" i="24" s="1"/>
  <c r="G393" i="24" s="1"/>
  <c r="V20" i="33"/>
  <c r="D404" i="24" s="1"/>
  <c r="G404" i="24" s="1"/>
  <c r="V34" i="34"/>
  <c r="D391" i="24" s="1"/>
  <c r="G391" i="24" s="1"/>
  <c r="V22" i="35"/>
  <c r="D362" i="24" s="1"/>
  <c r="G362" i="24" s="1"/>
  <c r="V16" i="33"/>
  <c r="D400" i="24" s="1"/>
  <c r="G400" i="24" s="1"/>
  <c r="V21" i="35"/>
  <c r="D361" i="24" s="1"/>
  <c r="G361" i="24" s="1"/>
  <c r="AU18" i="33"/>
  <c r="W18" i="33" s="1"/>
  <c r="W38" i="33"/>
  <c r="F391" i="24"/>
  <c r="V17" i="32"/>
  <c r="D423" i="24" s="1"/>
  <c r="G423" i="24" s="1"/>
  <c r="AU23" i="35"/>
  <c r="Y23" i="35" s="1"/>
  <c r="AU31" i="35"/>
  <c r="X31" i="35" s="1"/>
  <c r="X38" i="33"/>
  <c r="AU20" i="32"/>
  <c r="X20" i="32" s="1"/>
  <c r="F400" i="24"/>
  <c r="V18" i="35"/>
  <c r="D358" i="24" s="1"/>
  <c r="G358" i="24" s="1"/>
  <c r="AU37" i="35"/>
  <c r="X37" i="35" s="1"/>
  <c r="V38" i="33"/>
  <c r="D417" i="24" s="1"/>
  <c r="G417" i="24" s="1"/>
  <c r="AU30" i="32"/>
  <c r="W30" i="32" s="1"/>
  <c r="V18" i="32"/>
  <c r="D424" i="24" s="1"/>
  <c r="G424" i="24" s="1"/>
  <c r="V21" i="32"/>
  <c r="D427" i="24" s="1"/>
  <c r="G427" i="24" s="1"/>
  <c r="V17" i="34"/>
  <c r="D379" i="24" s="1"/>
  <c r="G379" i="24" s="1"/>
  <c r="AU39" i="32"/>
  <c r="V39" i="32"/>
  <c r="D440" i="24" s="1"/>
  <c r="G440" i="24" s="1"/>
  <c r="AU35" i="33"/>
  <c r="Y35" i="33" s="1"/>
  <c r="A425" i="24"/>
  <c r="C424" i="24"/>
  <c r="F424" i="24" s="1"/>
  <c r="V36" i="35"/>
  <c r="D371" i="24" s="1"/>
  <c r="G371" i="24" s="1"/>
  <c r="AU37" i="34"/>
  <c r="Y37" i="34" s="1"/>
  <c r="V20" i="35"/>
  <c r="D360" i="24" s="1"/>
  <c r="G360" i="24" s="1"/>
  <c r="AU19" i="34"/>
  <c r="W19" i="34" s="1"/>
  <c r="AU23" i="34"/>
  <c r="Y23" i="34" s="1"/>
  <c r="V14" i="33"/>
  <c r="D398" i="24" s="1"/>
  <c r="G398" i="24" s="1"/>
  <c r="V15" i="32"/>
  <c r="D421" i="24" s="1"/>
  <c r="G421" i="24" s="1"/>
  <c r="V35" i="32"/>
  <c r="D436" i="24" s="1"/>
  <c r="G436" i="24" s="1"/>
  <c r="Y32" i="33"/>
  <c r="A402" i="24"/>
  <c r="C401" i="24"/>
  <c r="F401" i="24" s="1"/>
  <c r="A349" i="24"/>
  <c r="C348" i="24"/>
  <c r="A413" i="24"/>
  <c r="C412" i="24"/>
  <c r="F412" i="24" s="1"/>
  <c r="AU39" i="34"/>
  <c r="V39" i="34"/>
  <c r="D396" i="24" s="1"/>
  <c r="G396" i="24" s="1"/>
  <c r="X36" i="34"/>
  <c r="AU30" i="35"/>
  <c r="Y30" i="35" s="1"/>
  <c r="W30" i="34"/>
  <c r="V30" i="34"/>
  <c r="D387" i="24" s="1"/>
  <c r="G387" i="24" s="1"/>
  <c r="AU30" i="33"/>
  <c r="Y30" i="33" s="1"/>
  <c r="V23" i="32"/>
  <c r="D429" i="24" s="1"/>
  <c r="G429" i="24" s="1"/>
  <c r="AU39" i="33"/>
  <c r="Y39" i="33" s="1"/>
  <c r="A358" i="24"/>
  <c r="C357" i="24"/>
  <c r="F357" i="24" s="1"/>
  <c r="AU22" i="34"/>
  <c r="W22" i="34" s="1"/>
  <c r="V16" i="32"/>
  <c r="D422" i="24" s="1"/>
  <c r="G422" i="24" s="1"/>
  <c r="X30" i="34"/>
  <c r="Y36" i="34"/>
  <c r="V37" i="32"/>
  <c r="D438" i="24" s="1"/>
  <c r="G438" i="24" s="1"/>
  <c r="A338" i="24"/>
  <c r="C337" i="24"/>
  <c r="AU38" i="35"/>
  <c r="X38" i="35" s="1"/>
  <c r="AU38" i="34"/>
  <c r="X38" i="34" s="1"/>
  <c r="A393" i="24"/>
  <c r="C392" i="24"/>
  <c r="F392" i="24" s="1"/>
  <c r="V33" i="35"/>
  <c r="D368" i="24" s="1"/>
  <c r="G368" i="24" s="1"/>
  <c r="V15" i="35"/>
  <c r="D355" i="24" s="1"/>
  <c r="G355" i="24" s="1"/>
  <c r="V21" i="33"/>
  <c r="D405" i="24" s="1"/>
  <c r="G405" i="24" s="1"/>
  <c r="V37" i="33"/>
  <c r="D416" i="24" s="1"/>
  <c r="G416" i="24" s="1"/>
  <c r="X32" i="33"/>
  <c r="A381" i="24"/>
  <c r="C380" i="24"/>
  <c r="F380" i="24" s="1"/>
  <c r="A370" i="24"/>
  <c r="C369" i="24"/>
  <c r="F369" i="24" s="1"/>
  <c r="A435" i="24"/>
  <c r="C434" i="24"/>
  <c r="F434" i="24" s="1"/>
  <c r="W32" i="32"/>
  <c r="X32" i="32"/>
  <c r="AU16" i="34"/>
  <c r="X16" i="34" s="1"/>
  <c r="AU34" i="32"/>
  <c r="W34" i="32" s="1"/>
  <c r="X23" i="32"/>
  <c r="W23" i="32"/>
  <c r="Y23" i="32"/>
  <c r="X21" i="32"/>
  <c r="W21" i="32"/>
  <c r="Y21" i="32"/>
  <c r="Y17" i="32"/>
  <c r="W17" i="32"/>
  <c r="X17" i="32"/>
  <c r="Y37" i="32"/>
  <c r="X37" i="32"/>
  <c r="W37" i="32"/>
  <c r="W14" i="32"/>
  <c r="Y14" i="32"/>
  <c r="X14" i="32"/>
  <c r="W16" i="32"/>
  <c r="Y16" i="32"/>
  <c r="X16" i="32"/>
  <c r="W22" i="32"/>
  <c r="X22" i="32"/>
  <c r="Y22" i="32"/>
  <c r="W18" i="32"/>
  <c r="Y18" i="32"/>
  <c r="X18" i="32"/>
  <c r="X35" i="32"/>
  <c r="Y35" i="32"/>
  <c r="W35" i="32"/>
  <c r="Y15" i="32"/>
  <c r="X15" i="32"/>
  <c r="W15" i="32"/>
  <c r="G47" i="32"/>
  <c r="I47" i="32"/>
  <c r="X37" i="33"/>
  <c r="Y37" i="33"/>
  <c r="W37" i="33"/>
  <c r="X20" i="33"/>
  <c r="W20" i="33"/>
  <c r="Y20" i="33"/>
  <c r="X23" i="33"/>
  <c r="Y23" i="33"/>
  <c r="W23" i="33"/>
  <c r="X22" i="33"/>
  <c r="Y22" i="33"/>
  <c r="W22" i="33"/>
  <c r="Y14" i="33"/>
  <c r="W14" i="33"/>
  <c r="X14" i="33"/>
  <c r="W15" i="33"/>
  <c r="X15" i="33"/>
  <c r="Y15" i="33"/>
  <c r="X19" i="33"/>
  <c r="W19" i="33"/>
  <c r="Y19" i="33"/>
  <c r="X21" i="33"/>
  <c r="W21" i="33"/>
  <c r="Y21" i="33"/>
  <c r="I47" i="33"/>
  <c r="G47" i="33"/>
  <c r="W16" i="33"/>
  <c r="Y16" i="33"/>
  <c r="X16" i="33"/>
  <c r="Y17" i="34"/>
  <c r="W17" i="34"/>
  <c r="X17" i="34"/>
  <c r="X15" i="34"/>
  <c r="Y15" i="34"/>
  <c r="W15" i="34"/>
  <c r="X35" i="34"/>
  <c r="Y35" i="34"/>
  <c r="W35" i="34"/>
  <c r="G47" i="34"/>
  <c r="I47" i="34"/>
  <c r="X14" i="34"/>
  <c r="W14" i="34"/>
  <c r="Y14" i="34"/>
  <c r="Y31" i="34"/>
  <c r="X31" i="34"/>
  <c r="W31" i="34"/>
  <c r="I47" i="35"/>
  <c r="G47" i="35"/>
  <c r="Y22" i="35"/>
  <c r="X22" i="35"/>
  <c r="W22" i="35"/>
  <c r="Y36" i="35"/>
  <c r="X36" i="35"/>
  <c r="W36" i="35"/>
  <c r="Y20" i="35"/>
  <c r="X20" i="35"/>
  <c r="W20" i="35"/>
  <c r="X35" i="35"/>
  <c r="Y35" i="35"/>
  <c r="W35" i="35"/>
  <c r="Y32" i="35"/>
  <c r="X32" i="35"/>
  <c r="W32" i="35"/>
  <c r="Y17" i="35"/>
  <c r="X17" i="35"/>
  <c r="W17" i="35"/>
  <c r="Y16" i="35"/>
  <c r="X16" i="35"/>
  <c r="W16" i="35"/>
  <c r="Y18" i="35"/>
  <c r="X18" i="35"/>
  <c r="W18" i="35"/>
  <c r="X33" i="35"/>
  <c r="Y33" i="35"/>
  <c r="W33" i="35"/>
  <c r="X15" i="35"/>
  <c r="Y15" i="35"/>
  <c r="W15" i="35"/>
  <c r="W21" i="35"/>
  <c r="Y21" i="35"/>
  <c r="X21" i="35"/>
  <c r="Y34" i="35"/>
  <c r="X34" i="35"/>
  <c r="W34" i="35"/>
  <c r="X39" i="35"/>
  <c r="Y39" i="35"/>
  <c r="W39" i="35"/>
  <c r="B20" i="30"/>
  <c r="N24" i="30"/>
  <c r="B16" i="30"/>
  <c r="E23" i="30"/>
  <c r="B15" i="30"/>
  <c r="E14" i="30"/>
  <c r="B14" i="30"/>
  <c r="B21" i="30"/>
  <c r="E19" i="30"/>
  <c r="I24" i="30"/>
  <c r="B23" i="30"/>
  <c r="B19" i="30"/>
  <c r="E17" i="30"/>
  <c r="E18" i="30"/>
  <c r="B17" i="30"/>
  <c r="B22" i="30"/>
  <c r="B18" i="30"/>
  <c r="E15" i="30"/>
  <c r="E16" i="30"/>
  <c r="E22" i="30"/>
  <c r="E21" i="30"/>
  <c r="E20" i="30"/>
  <c r="B33" i="30"/>
  <c r="B30" i="30"/>
  <c r="N40" i="30"/>
  <c r="E32" i="30"/>
  <c r="B38" i="30"/>
  <c r="B35" i="30"/>
  <c r="I40" i="30"/>
  <c r="B32" i="30"/>
  <c r="E37" i="30"/>
  <c r="E36" i="30"/>
  <c r="E35" i="30"/>
  <c r="E34" i="30"/>
  <c r="E33" i="30"/>
  <c r="E39" i="30"/>
  <c r="E31" i="30"/>
  <c r="E38" i="30"/>
  <c r="B37" i="30"/>
  <c r="B36" i="30"/>
  <c r="B34" i="30"/>
  <c r="B39" i="30"/>
  <c r="B31" i="30"/>
  <c r="E30" i="30"/>
  <c r="BQ15" i="30"/>
  <c r="AR15" i="30" s="1"/>
  <c r="BQ14" i="30"/>
  <c r="AR14" i="30" s="1"/>
  <c r="BC18" i="30"/>
  <c r="BQ18" i="30"/>
  <c r="AO18" i="30" s="1"/>
  <c r="BC15" i="30"/>
  <c r="BQ23" i="30"/>
  <c r="AR23" i="30" s="1"/>
  <c r="BC21" i="30"/>
  <c r="BC22" i="30"/>
  <c r="BQ22" i="30"/>
  <c r="AO22" i="30" s="1"/>
  <c r="AR22" i="30"/>
  <c r="BQ21" i="30"/>
  <c r="AR21" i="30" s="1"/>
  <c r="BQ20" i="30"/>
  <c r="AO20" i="30" s="1"/>
  <c r="BQ19" i="30"/>
  <c r="AO19" i="30" s="1"/>
  <c r="BQ17" i="30"/>
  <c r="AR17" i="30" s="1"/>
  <c r="BQ16" i="30"/>
  <c r="AR16" i="30" s="1"/>
  <c r="BQ13" i="30"/>
  <c r="AO13" i="30" s="1"/>
  <c r="AS52" i="30" s="1"/>
  <c r="AR30" i="30"/>
  <c r="AO30" i="30"/>
  <c r="AR32" i="30"/>
  <c r="AO32" i="30"/>
  <c r="AR34" i="30"/>
  <c r="AO34" i="30"/>
  <c r="AR36" i="30"/>
  <c r="AO36" i="30"/>
  <c r="AR24" i="30"/>
  <c r="BQ31" i="30"/>
  <c r="BQ35" i="30"/>
  <c r="BQ28" i="30"/>
  <c r="AO44" i="30"/>
  <c r="AO38" i="30"/>
  <c r="BQ46" i="30"/>
  <c r="BC16" i="30"/>
  <c r="BQ27" i="30"/>
  <c r="BC38" i="30"/>
  <c r="BQ45" i="30"/>
  <c r="AO33" i="30"/>
  <c r="AR33" i="30"/>
  <c r="AO25" i="30"/>
  <c r="BC26" i="30"/>
  <c r="BC37" i="30"/>
  <c r="AO42" i="30"/>
  <c r="BC30" i="30"/>
  <c r="BC36" i="30"/>
  <c r="AO39" i="30"/>
  <c r="AR39" i="30"/>
  <c r="BQ26" i="30"/>
  <c r="BC34" i="30"/>
  <c r="AO41" i="30"/>
  <c r="BQ37" i="30"/>
  <c r="BQ29" i="30"/>
  <c r="BQ43" i="30"/>
  <c r="BP46" i="28"/>
  <c r="BO46" i="28"/>
  <c r="BN46" i="28"/>
  <c r="BM46" i="28"/>
  <c r="BL46" i="28"/>
  <c r="BB46" i="28"/>
  <c r="BD46" i="28" s="1"/>
  <c r="BA46" i="28"/>
  <c r="AZ46" i="28"/>
  <c r="AY46" i="28"/>
  <c r="BP45" i="28"/>
  <c r="BO45" i="28"/>
  <c r="BN45" i="28"/>
  <c r="BM45" i="28"/>
  <c r="BL45" i="28"/>
  <c r="BB45" i="28"/>
  <c r="BD45" i="28" s="1"/>
  <c r="BA45" i="28"/>
  <c r="AZ45" i="28"/>
  <c r="BC45" i="28" s="1"/>
  <c r="AY45" i="28"/>
  <c r="BP44" i="28"/>
  <c r="BO44" i="28"/>
  <c r="BN44" i="28"/>
  <c r="BM44" i="28"/>
  <c r="BL44" i="28"/>
  <c r="BC44" i="28"/>
  <c r="BB44" i="28"/>
  <c r="BD44" i="28" s="1"/>
  <c r="BA44" i="28"/>
  <c r="AZ44" i="28"/>
  <c r="AY44" i="28"/>
  <c r="BP43" i="28"/>
  <c r="BO43" i="28"/>
  <c r="BN43" i="28"/>
  <c r="BM43" i="28"/>
  <c r="BL43" i="28"/>
  <c r="BB43" i="28"/>
  <c r="BD43" i="28" s="1"/>
  <c r="BA43" i="28"/>
  <c r="AZ43" i="28"/>
  <c r="AY43" i="28"/>
  <c r="BP42" i="28"/>
  <c r="BO42" i="28"/>
  <c r="BN42" i="28"/>
  <c r="BM42" i="28"/>
  <c r="BL42" i="28"/>
  <c r="BB42" i="28"/>
  <c r="BD42" i="28" s="1"/>
  <c r="BA42" i="28"/>
  <c r="AZ42" i="28"/>
  <c r="BC42" i="28" s="1"/>
  <c r="AY42" i="28"/>
  <c r="BP41" i="28"/>
  <c r="BO41" i="28"/>
  <c r="BN41" i="28"/>
  <c r="BM41" i="28"/>
  <c r="BL41" i="28"/>
  <c r="BB41" i="28"/>
  <c r="BD41" i="28" s="1"/>
  <c r="BA41" i="28"/>
  <c r="AZ41" i="28"/>
  <c r="AY41" i="28"/>
  <c r="BP40" i="28"/>
  <c r="BO40" i="28"/>
  <c r="BN40" i="28"/>
  <c r="BM40" i="28"/>
  <c r="BL40" i="28"/>
  <c r="BB40" i="28"/>
  <c r="BD40" i="28" s="1"/>
  <c r="BA40" i="28"/>
  <c r="AZ40" i="28"/>
  <c r="BC40" i="28" s="1"/>
  <c r="AY40" i="28"/>
  <c r="BP39" i="28"/>
  <c r="BO39" i="28"/>
  <c r="BN39" i="28"/>
  <c r="BM39" i="28"/>
  <c r="BL39" i="28"/>
  <c r="BB39" i="28"/>
  <c r="BD39" i="28" s="1"/>
  <c r="BA39" i="28"/>
  <c r="AZ39" i="28"/>
  <c r="AY39" i="28"/>
  <c r="BP38" i="28"/>
  <c r="BO38" i="28"/>
  <c r="BN38" i="28"/>
  <c r="BM38" i="28"/>
  <c r="BL38" i="28"/>
  <c r="BB38" i="28"/>
  <c r="BD38" i="28" s="1"/>
  <c r="BA38" i="28"/>
  <c r="AZ38" i="28"/>
  <c r="AY38" i="28"/>
  <c r="BP37" i="28"/>
  <c r="BO37" i="28"/>
  <c r="BN37" i="28"/>
  <c r="BM37" i="28"/>
  <c r="BL37" i="28"/>
  <c r="BB37" i="28"/>
  <c r="BD37" i="28" s="1"/>
  <c r="BA37" i="28"/>
  <c r="AZ37" i="28"/>
  <c r="AY37" i="28"/>
  <c r="BP36" i="28"/>
  <c r="BO36" i="28"/>
  <c r="BN36" i="28"/>
  <c r="BM36" i="28"/>
  <c r="BL36" i="28"/>
  <c r="BB36" i="28"/>
  <c r="BD36" i="28" s="1"/>
  <c r="BA36" i="28"/>
  <c r="AZ36" i="28"/>
  <c r="AY36" i="28"/>
  <c r="BP35" i="28"/>
  <c r="BO35" i="28"/>
  <c r="BN35" i="28"/>
  <c r="BM35" i="28"/>
  <c r="BL35" i="28"/>
  <c r="BB35" i="28"/>
  <c r="BD35" i="28" s="1"/>
  <c r="BA35" i="28"/>
  <c r="AZ35" i="28"/>
  <c r="AY35" i="28"/>
  <c r="BP34" i="28"/>
  <c r="BO34" i="28"/>
  <c r="BN34" i="28"/>
  <c r="BM34" i="28"/>
  <c r="BL34" i="28"/>
  <c r="BB34" i="28"/>
  <c r="BD34" i="28" s="1"/>
  <c r="BA34" i="28"/>
  <c r="AZ34" i="28"/>
  <c r="AY34" i="28"/>
  <c r="BP33" i="28"/>
  <c r="BO33" i="28"/>
  <c r="BN33" i="28"/>
  <c r="BM33" i="28"/>
  <c r="BL33" i="28"/>
  <c r="BB33" i="28"/>
  <c r="BD33" i="28" s="1"/>
  <c r="BA33" i="28"/>
  <c r="AZ33" i="28"/>
  <c r="AY33" i="28"/>
  <c r="BP32" i="28"/>
  <c r="BO32" i="28"/>
  <c r="BN32" i="28"/>
  <c r="BM32" i="28"/>
  <c r="BL32" i="28"/>
  <c r="BB32" i="28"/>
  <c r="BD32" i="28" s="1"/>
  <c r="BA32" i="28"/>
  <c r="AZ32" i="28"/>
  <c r="AY32" i="28"/>
  <c r="BP31" i="28"/>
  <c r="BO31" i="28"/>
  <c r="BN31" i="28"/>
  <c r="BM31" i="28"/>
  <c r="BL31" i="28"/>
  <c r="BB31" i="28"/>
  <c r="BD31" i="28" s="1"/>
  <c r="BA31" i="28"/>
  <c r="AZ31" i="28"/>
  <c r="AY31" i="28"/>
  <c r="BP30" i="28"/>
  <c r="BO30" i="28"/>
  <c r="BN30" i="28"/>
  <c r="BM30" i="28"/>
  <c r="BL30" i="28"/>
  <c r="BB30" i="28"/>
  <c r="BD30" i="28" s="1"/>
  <c r="BA30" i="28"/>
  <c r="AZ30" i="28"/>
  <c r="AY30" i="28"/>
  <c r="BP29" i="28"/>
  <c r="BO29" i="28"/>
  <c r="BN29" i="28"/>
  <c r="BM29" i="28"/>
  <c r="BL29" i="28"/>
  <c r="BB29" i="28"/>
  <c r="BD29" i="28" s="1"/>
  <c r="BA29" i="28"/>
  <c r="AZ29" i="28"/>
  <c r="AY29" i="28"/>
  <c r="BP28" i="28"/>
  <c r="BO28" i="28"/>
  <c r="BN28" i="28"/>
  <c r="BM28" i="28"/>
  <c r="BL28" i="28"/>
  <c r="BB28" i="28"/>
  <c r="BD28" i="28" s="1"/>
  <c r="BA28" i="28"/>
  <c r="AZ28" i="28"/>
  <c r="AY28" i="28"/>
  <c r="BP27" i="28"/>
  <c r="BO27" i="28"/>
  <c r="BN27" i="28"/>
  <c r="BM27" i="28"/>
  <c r="BL27" i="28"/>
  <c r="BB27" i="28"/>
  <c r="BD27" i="28" s="1"/>
  <c r="BA27" i="28"/>
  <c r="AZ27" i="28"/>
  <c r="AY27" i="28"/>
  <c r="BP26" i="28"/>
  <c r="BO26" i="28"/>
  <c r="BN26" i="28"/>
  <c r="BM26" i="28"/>
  <c r="BL26" i="28"/>
  <c r="BB26" i="28"/>
  <c r="BD26" i="28" s="1"/>
  <c r="BA26" i="28"/>
  <c r="AZ26" i="28"/>
  <c r="AY26" i="28"/>
  <c r="BP25" i="28"/>
  <c r="BO25" i="28"/>
  <c r="BN25" i="28"/>
  <c r="BM25" i="28"/>
  <c r="BL25" i="28"/>
  <c r="BB25" i="28"/>
  <c r="BD25" i="28" s="1"/>
  <c r="BA25" i="28"/>
  <c r="AZ25" i="28"/>
  <c r="BC25" i="28" s="1"/>
  <c r="AY25" i="28"/>
  <c r="BP24" i="28"/>
  <c r="BO24" i="28"/>
  <c r="BN24" i="28"/>
  <c r="BM24" i="28"/>
  <c r="BL24" i="28"/>
  <c r="BB24" i="28"/>
  <c r="BD24" i="28" s="1"/>
  <c r="BA24" i="28"/>
  <c r="AZ24" i="28"/>
  <c r="AY24" i="28"/>
  <c r="BP23" i="28"/>
  <c r="BO23" i="28"/>
  <c r="BN23" i="28"/>
  <c r="BM23" i="28"/>
  <c r="BL23" i="28"/>
  <c r="BB23" i="28"/>
  <c r="BD23" i="28" s="1"/>
  <c r="BA23" i="28"/>
  <c r="AZ23" i="28"/>
  <c r="AY23" i="28"/>
  <c r="BP22" i="28"/>
  <c r="BO22" i="28"/>
  <c r="BN22" i="28"/>
  <c r="BM22" i="28"/>
  <c r="BL22" i="28"/>
  <c r="BB22" i="28"/>
  <c r="BD22" i="28" s="1"/>
  <c r="BA22" i="28"/>
  <c r="AZ22" i="28"/>
  <c r="AY22" i="28"/>
  <c r="BP21" i="28"/>
  <c r="BO21" i="28"/>
  <c r="BN21" i="28"/>
  <c r="BM21" i="28"/>
  <c r="BL21" i="28"/>
  <c r="BB21" i="28"/>
  <c r="BD21" i="28" s="1"/>
  <c r="BA21" i="28"/>
  <c r="AZ21" i="28"/>
  <c r="AY21" i="28"/>
  <c r="BP20" i="28"/>
  <c r="BO20" i="28"/>
  <c r="BN20" i="28"/>
  <c r="BM20" i="28"/>
  <c r="BL20" i="28"/>
  <c r="BB20" i="28"/>
  <c r="BD20" i="28" s="1"/>
  <c r="BA20" i="28"/>
  <c r="AZ20" i="28"/>
  <c r="AY20" i="28"/>
  <c r="BP19" i="28"/>
  <c r="BO19" i="28"/>
  <c r="BN19" i="28"/>
  <c r="BM19" i="28"/>
  <c r="BL19" i="28"/>
  <c r="BB19" i="28"/>
  <c r="BD19" i="28" s="1"/>
  <c r="BA19" i="28"/>
  <c r="AZ19" i="28"/>
  <c r="AY19" i="28"/>
  <c r="AB19" i="28"/>
  <c r="AB20" i="28" s="1"/>
  <c r="AB21" i="28" s="1"/>
  <c r="AB22" i="28" s="1"/>
  <c r="AB23" i="28" s="1"/>
  <c r="AB24" i="28" s="1"/>
  <c r="AB25" i="28" s="1"/>
  <c r="AB28" i="28" s="1"/>
  <c r="AB29" i="28" s="1"/>
  <c r="AB30" i="28" s="1"/>
  <c r="AB31" i="28" s="1"/>
  <c r="AB32" i="28" s="1"/>
  <c r="AB33" i="28" s="1"/>
  <c r="AB34" i="28" s="1"/>
  <c r="AB35" i="28" s="1"/>
  <c r="AB36" i="28" s="1"/>
  <c r="AB37" i="28" s="1"/>
  <c r="AB38" i="28" s="1"/>
  <c r="AB39" i="28" s="1"/>
  <c r="AB40" i="28" s="1"/>
  <c r="AB41" i="28" s="1"/>
  <c r="AB42" i="28" s="1"/>
  <c r="AB43" i="28" s="1"/>
  <c r="BP18" i="28"/>
  <c r="BO18" i="28"/>
  <c r="BN18" i="28"/>
  <c r="BM18" i="28"/>
  <c r="BL18" i="28"/>
  <c r="BB18" i="28"/>
  <c r="BD18" i="28" s="1"/>
  <c r="BA18" i="28"/>
  <c r="AZ18" i="28"/>
  <c r="AY18" i="28"/>
  <c r="BP17" i="28"/>
  <c r="BO17" i="28"/>
  <c r="BN17" i="28"/>
  <c r="BM17" i="28"/>
  <c r="BL17" i="28"/>
  <c r="BB17" i="28"/>
  <c r="BD17" i="28" s="1"/>
  <c r="BA17" i="28"/>
  <c r="AZ17" i="28"/>
  <c r="AY17" i="28"/>
  <c r="BP16" i="28"/>
  <c r="BO16" i="28"/>
  <c r="BN16" i="28"/>
  <c r="BM16" i="28"/>
  <c r="BL16" i="28"/>
  <c r="BB16" i="28"/>
  <c r="BD16" i="28" s="1"/>
  <c r="BA16" i="28"/>
  <c r="AZ16" i="28"/>
  <c r="AY16" i="28"/>
  <c r="BP15" i="28"/>
  <c r="BO15" i="28"/>
  <c r="BN15" i="28"/>
  <c r="BM15" i="28"/>
  <c r="BL15" i="28"/>
  <c r="BB15" i="28"/>
  <c r="BD15" i="28" s="1"/>
  <c r="BA15" i="28"/>
  <c r="AZ15" i="28"/>
  <c r="AY15" i="28"/>
  <c r="BP14" i="28"/>
  <c r="BO14" i="28"/>
  <c r="BN14" i="28"/>
  <c r="BM14" i="28"/>
  <c r="BL14" i="28"/>
  <c r="BB14" i="28"/>
  <c r="BD14" i="28" s="1"/>
  <c r="BA14" i="28"/>
  <c r="AZ14" i="28"/>
  <c r="AY14" i="28"/>
  <c r="AP14" i="28"/>
  <c r="AP15" i="28" s="1"/>
  <c r="AP16" i="28" s="1"/>
  <c r="AP17" i="28" s="1"/>
  <c r="AP18" i="28" s="1"/>
  <c r="AP19" i="28" s="1"/>
  <c r="AP20" i="28" s="1"/>
  <c r="AP21" i="28" s="1"/>
  <c r="AP22" i="28" s="1"/>
  <c r="AP23" i="28" s="1"/>
  <c r="AP24" i="28" s="1"/>
  <c r="AP25" i="28" s="1"/>
  <c r="AP26" i="28" s="1"/>
  <c r="AP27" i="28" s="1"/>
  <c r="AP28" i="28" s="1"/>
  <c r="AP29" i="28" s="1"/>
  <c r="AP30" i="28" s="1"/>
  <c r="AP31" i="28" s="1"/>
  <c r="AP32" i="28" s="1"/>
  <c r="AP33" i="28" s="1"/>
  <c r="AP34" i="28" s="1"/>
  <c r="AP35" i="28" s="1"/>
  <c r="AP36" i="28" s="1"/>
  <c r="AP37" i="28" s="1"/>
  <c r="AP38" i="28" s="1"/>
  <c r="AP39" i="28" s="1"/>
  <c r="AP40" i="28" s="1"/>
  <c r="AP41" i="28" s="1"/>
  <c r="AP42" i="28" s="1"/>
  <c r="AP43" i="28" s="1"/>
  <c r="AP44" i="28" s="1"/>
  <c r="AP45" i="28" s="1"/>
  <c r="AP46" i="28" s="1"/>
  <c r="AB14" i="28"/>
  <c r="AB15" i="28" s="1"/>
  <c r="AB16" i="28" s="1"/>
  <c r="AB17" i="28" s="1"/>
  <c r="BP13" i="28"/>
  <c r="BO13" i="28"/>
  <c r="BN13" i="28"/>
  <c r="BM13" i="28"/>
  <c r="BL13" i="28"/>
  <c r="BB13" i="28"/>
  <c r="BD13" i="28" s="1"/>
  <c r="BA13" i="28"/>
  <c r="AZ13" i="28"/>
  <c r="AY13" i="28"/>
  <c r="BP11" i="28"/>
  <c r="BO11" i="28"/>
  <c r="BN11" i="28"/>
  <c r="BM11" i="28"/>
  <c r="BL11" i="28"/>
  <c r="BP10" i="28"/>
  <c r="BO10" i="28"/>
  <c r="BN10" i="28"/>
  <c r="BM10" i="28"/>
  <c r="BL10" i="28"/>
  <c r="F25" i="28"/>
  <c r="F10" i="28"/>
  <c r="D6" i="28"/>
  <c r="BP46" i="8"/>
  <c r="BO46" i="8"/>
  <c r="BN46" i="8"/>
  <c r="BM46" i="8"/>
  <c r="BL46" i="8"/>
  <c r="BB46" i="8"/>
  <c r="BD46" i="8" s="1"/>
  <c r="BA46" i="8"/>
  <c r="AZ46" i="8"/>
  <c r="BC46" i="8" s="1"/>
  <c r="AY46" i="8"/>
  <c r="BP45" i="8"/>
  <c r="BO45" i="8"/>
  <c r="BN45" i="8"/>
  <c r="BM45" i="8"/>
  <c r="BL45" i="8"/>
  <c r="BB45" i="8"/>
  <c r="BD45" i="8" s="1"/>
  <c r="BA45" i="8"/>
  <c r="AZ45" i="8"/>
  <c r="BC45" i="8" s="1"/>
  <c r="AY45" i="8"/>
  <c r="BP44" i="8"/>
  <c r="BO44" i="8"/>
  <c r="BN44" i="8"/>
  <c r="BM44" i="8"/>
  <c r="BL44" i="8"/>
  <c r="BB44" i="8"/>
  <c r="BD44" i="8" s="1"/>
  <c r="BA44" i="8"/>
  <c r="AZ44" i="8"/>
  <c r="BC44" i="8" s="1"/>
  <c r="AY44" i="8"/>
  <c r="BP43" i="8"/>
  <c r="BO43" i="8"/>
  <c r="BN43" i="8"/>
  <c r="BM43" i="8"/>
  <c r="BL43" i="8"/>
  <c r="BB43" i="8"/>
  <c r="BD43" i="8" s="1"/>
  <c r="BA43" i="8"/>
  <c r="AZ43" i="8"/>
  <c r="BC43" i="8" s="1"/>
  <c r="AY43" i="8"/>
  <c r="BP42" i="8"/>
  <c r="BO42" i="8"/>
  <c r="BN42" i="8"/>
  <c r="BM42" i="8"/>
  <c r="BL42" i="8"/>
  <c r="BB42" i="8"/>
  <c r="BD42" i="8" s="1"/>
  <c r="BA42" i="8"/>
  <c r="AZ42" i="8"/>
  <c r="BC42" i="8" s="1"/>
  <c r="AY42" i="8"/>
  <c r="BP41" i="8"/>
  <c r="BO41" i="8"/>
  <c r="BN41" i="8"/>
  <c r="BM41" i="8"/>
  <c r="BL41" i="8"/>
  <c r="BB41" i="8"/>
  <c r="BD41" i="8" s="1"/>
  <c r="BA41" i="8"/>
  <c r="AZ41" i="8"/>
  <c r="BC41" i="8" s="1"/>
  <c r="AY41" i="8"/>
  <c r="BP40" i="8"/>
  <c r="BO40" i="8"/>
  <c r="BN40" i="8"/>
  <c r="BM40" i="8"/>
  <c r="BL40" i="8"/>
  <c r="BB40" i="8"/>
  <c r="BD40" i="8" s="1"/>
  <c r="BA40" i="8"/>
  <c r="AZ40" i="8"/>
  <c r="BC40" i="8" s="1"/>
  <c r="AY40" i="8"/>
  <c r="BP39" i="8"/>
  <c r="BO39" i="8"/>
  <c r="BN39" i="8"/>
  <c r="BM39" i="8"/>
  <c r="BL39" i="8"/>
  <c r="BB39" i="8"/>
  <c r="BD39" i="8" s="1"/>
  <c r="BA39" i="8"/>
  <c r="AZ39" i="8"/>
  <c r="AY39" i="8"/>
  <c r="BP38" i="8"/>
  <c r="BO38" i="8"/>
  <c r="BN38" i="8"/>
  <c r="BM38" i="8"/>
  <c r="BL38" i="8"/>
  <c r="BQ38" i="8" s="1"/>
  <c r="BB38" i="8"/>
  <c r="BD38" i="8" s="1"/>
  <c r="BA38" i="8"/>
  <c r="AZ38" i="8"/>
  <c r="AY38" i="8"/>
  <c r="BP37" i="8"/>
  <c r="BO37" i="8"/>
  <c r="BN37" i="8"/>
  <c r="BM37" i="8"/>
  <c r="BL37" i="8"/>
  <c r="BB37" i="8"/>
  <c r="BD37" i="8" s="1"/>
  <c r="BA37" i="8"/>
  <c r="BC37" i="8" s="1"/>
  <c r="AZ37" i="8"/>
  <c r="AY37" i="8"/>
  <c r="BP36" i="8"/>
  <c r="BO36" i="8"/>
  <c r="BN36" i="8"/>
  <c r="BM36" i="8"/>
  <c r="BL36" i="8"/>
  <c r="BQ36" i="8" s="1"/>
  <c r="BD36" i="8"/>
  <c r="BB36" i="8"/>
  <c r="BA36" i="8"/>
  <c r="AZ36" i="8"/>
  <c r="AY36" i="8"/>
  <c r="BP35" i="8"/>
  <c r="BO35" i="8"/>
  <c r="BN35" i="8"/>
  <c r="BM35" i="8"/>
  <c r="BL35" i="8"/>
  <c r="BB35" i="8"/>
  <c r="BD35" i="8" s="1"/>
  <c r="BA35" i="8"/>
  <c r="BC35" i="8" s="1"/>
  <c r="AZ35" i="8"/>
  <c r="AY35" i="8"/>
  <c r="BP34" i="8"/>
  <c r="BO34" i="8"/>
  <c r="BN34" i="8"/>
  <c r="BM34" i="8"/>
  <c r="BL34" i="8"/>
  <c r="BQ34" i="8" s="1"/>
  <c r="BD34" i="8"/>
  <c r="BB34" i="8"/>
  <c r="BA34" i="8"/>
  <c r="AZ34" i="8"/>
  <c r="AY34" i="8"/>
  <c r="BP33" i="8"/>
  <c r="BO33" i="8"/>
  <c r="BN33" i="8"/>
  <c r="BM33" i="8"/>
  <c r="BL33" i="8"/>
  <c r="BB33" i="8"/>
  <c r="BD33" i="8" s="1"/>
  <c r="BA33" i="8"/>
  <c r="AZ33" i="8"/>
  <c r="AY33" i="8"/>
  <c r="BP32" i="8"/>
  <c r="BO32" i="8"/>
  <c r="BN32" i="8"/>
  <c r="BM32" i="8"/>
  <c r="BL32" i="8"/>
  <c r="BQ32" i="8" s="1"/>
  <c r="BD32" i="8"/>
  <c r="BB32" i="8"/>
  <c r="BA32" i="8"/>
  <c r="AZ32" i="8"/>
  <c r="BC32" i="8" s="1"/>
  <c r="AY32" i="8"/>
  <c r="BP31" i="8"/>
  <c r="BO31" i="8"/>
  <c r="BN31" i="8"/>
  <c r="BM31" i="8"/>
  <c r="BL31" i="8"/>
  <c r="BB31" i="8"/>
  <c r="BD31" i="8" s="1"/>
  <c r="BA31" i="8"/>
  <c r="AZ31" i="8"/>
  <c r="AY31" i="8"/>
  <c r="BP30" i="8"/>
  <c r="BO30" i="8"/>
  <c r="BN30" i="8"/>
  <c r="BM30" i="8"/>
  <c r="BL30" i="8"/>
  <c r="BQ30" i="8" s="1"/>
  <c r="BD30" i="8"/>
  <c r="BB30" i="8"/>
  <c r="BA30" i="8"/>
  <c r="AZ30" i="8"/>
  <c r="AY30" i="8"/>
  <c r="BP29" i="8"/>
  <c r="BO29" i="8"/>
  <c r="BN29" i="8"/>
  <c r="BM29" i="8"/>
  <c r="BL29" i="8"/>
  <c r="BB29" i="8"/>
  <c r="BD29" i="8" s="1"/>
  <c r="BA29" i="8"/>
  <c r="AZ29" i="8"/>
  <c r="AY29" i="8"/>
  <c r="BP28" i="8"/>
  <c r="BO28" i="8"/>
  <c r="BN28" i="8"/>
  <c r="BM28" i="8"/>
  <c r="BL28" i="8"/>
  <c r="BD28" i="8"/>
  <c r="BB28" i="8"/>
  <c r="BA28" i="8"/>
  <c r="AZ28" i="8"/>
  <c r="AY28" i="8"/>
  <c r="BP27" i="8"/>
  <c r="BO27" i="8"/>
  <c r="BN27" i="8"/>
  <c r="BM27" i="8"/>
  <c r="BL27" i="8"/>
  <c r="BD27" i="8"/>
  <c r="BB27" i="8"/>
  <c r="BA27" i="8"/>
  <c r="AZ27" i="8"/>
  <c r="AY27" i="8"/>
  <c r="BP26" i="8"/>
  <c r="BO26" i="8"/>
  <c r="BN26" i="8"/>
  <c r="BM26" i="8"/>
  <c r="BL26" i="8"/>
  <c r="BD26" i="8"/>
  <c r="BB26" i="8"/>
  <c r="BA26" i="8"/>
  <c r="AZ26" i="8"/>
  <c r="AY26" i="8"/>
  <c r="BP25" i="8"/>
  <c r="BO25" i="8"/>
  <c r="BN25" i="8"/>
  <c r="BM25" i="8"/>
  <c r="BL25" i="8"/>
  <c r="BB25" i="8"/>
  <c r="BD25" i="8" s="1"/>
  <c r="BA25" i="8"/>
  <c r="BC25" i="8" s="1"/>
  <c r="AZ25" i="8"/>
  <c r="AY25" i="8"/>
  <c r="BP24" i="8"/>
  <c r="BO24" i="8"/>
  <c r="BN24" i="8"/>
  <c r="BM24" i="8"/>
  <c r="BL24" i="8"/>
  <c r="BB24" i="8"/>
  <c r="BD24" i="8" s="1"/>
  <c r="BA24" i="8"/>
  <c r="AZ24" i="8"/>
  <c r="AY24" i="8"/>
  <c r="BP23" i="8"/>
  <c r="BO23" i="8"/>
  <c r="BN23" i="8"/>
  <c r="BM23" i="8"/>
  <c r="BQ23" i="8" s="1"/>
  <c r="BL23" i="8"/>
  <c r="BD23" i="8"/>
  <c r="BB23" i="8"/>
  <c r="BA23" i="8"/>
  <c r="AZ23" i="8"/>
  <c r="AY23" i="8"/>
  <c r="BP22" i="8"/>
  <c r="BO22" i="8"/>
  <c r="BN22" i="8"/>
  <c r="BM22" i="8"/>
  <c r="BL22" i="8"/>
  <c r="BD22" i="8"/>
  <c r="BB22" i="8"/>
  <c r="BA22" i="8"/>
  <c r="AZ22" i="8"/>
  <c r="AY22" i="8"/>
  <c r="BP21" i="8"/>
  <c r="BO21" i="8"/>
  <c r="BN21" i="8"/>
  <c r="BM21" i="8"/>
  <c r="BL21" i="8"/>
  <c r="BB21" i="8"/>
  <c r="BD21" i="8" s="1"/>
  <c r="BA21" i="8"/>
  <c r="AZ21" i="8"/>
  <c r="AY21" i="8"/>
  <c r="BP20" i="8"/>
  <c r="BO20" i="8"/>
  <c r="BN20" i="8"/>
  <c r="BM20" i="8"/>
  <c r="BL20" i="8"/>
  <c r="BB20" i="8"/>
  <c r="BD20" i="8" s="1"/>
  <c r="BA20" i="8"/>
  <c r="AZ20" i="8"/>
  <c r="AY20" i="8"/>
  <c r="BP19" i="8"/>
  <c r="BO19" i="8"/>
  <c r="BN19" i="8"/>
  <c r="BM19" i="8"/>
  <c r="BL19" i="8"/>
  <c r="BB19" i="8"/>
  <c r="BD19" i="8" s="1"/>
  <c r="BA19" i="8"/>
  <c r="AZ19" i="8"/>
  <c r="AY19" i="8"/>
  <c r="AB19" i="8"/>
  <c r="AB20" i="8" s="1"/>
  <c r="AB21" i="8" s="1"/>
  <c r="AB22" i="8" s="1"/>
  <c r="AB23" i="8" s="1"/>
  <c r="AB24" i="8" s="1"/>
  <c r="AB25" i="8" s="1"/>
  <c r="AB28" i="8" s="1"/>
  <c r="AB29" i="8" s="1"/>
  <c r="AB30" i="8" s="1"/>
  <c r="AB31" i="8" s="1"/>
  <c r="AB32" i="8" s="1"/>
  <c r="AB33" i="8" s="1"/>
  <c r="AB34" i="8" s="1"/>
  <c r="AB35" i="8" s="1"/>
  <c r="AB36" i="8" s="1"/>
  <c r="AB37" i="8" s="1"/>
  <c r="AB38" i="8" s="1"/>
  <c r="AB39" i="8" s="1"/>
  <c r="AB40" i="8" s="1"/>
  <c r="AB41" i="8" s="1"/>
  <c r="AB42" i="8" s="1"/>
  <c r="AB43" i="8" s="1"/>
  <c r="BP18" i="8"/>
  <c r="BO18" i="8"/>
  <c r="BN18" i="8"/>
  <c r="BM18" i="8"/>
  <c r="BL18" i="8"/>
  <c r="BB18" i="8"/>
  <c r="BD18" i="8" s="1"/>
  <c r="BA18" i="8"/>
  <c r="AZ18" i="8"/>
  <c r="AY18" i="8"/>
  <c r="BP17" i="8"/>
  <c r="BO17" i="8"/>
  <c r="BN17" i="8"/>
  <c r="BM17" i="8"/>
  <c r="BL17" i="8"/>
  <c r="BB17" i="8"/>
  <c r="BD17" i="8" s="1"/>
  <c r="BA17" i="8"/>
  <c r="AZ17" i="8"/>
  <c r="AY17" i="8"/>
  <c r="BP16" i="8"/>
  <c r="BO16" i="8"/>
  <c r="BN16" i="8"/>
  <c r="BM16" i="8"/>
  <c r="BL16" i="8"/>
  <c r="BB16" i="8"/>
  <c r="BD16" i="8" s="1"/>
  <c r="BA16" i="8"/>
  <c r="AZ16" i="8"/>
  <c r="AY16" i="8"/>
  <c r="BP15" i="8"/>
  <c r="BO15" i="8"/>
  <c r="BN15" i="8"/>
  <c r="BM15" i="8"/>
  <c r="BL15" i="8"/>
  <c r="BB15" i="8"/>
  <c r="BD15" i="8" s="1"/>
  <c r="BA15" i="8"/>
  <c r="AZ15" i="8"/>
  <c r="AY15" i="8"/>
  <c r="BP14" i="8"/>
  <c r="BO14" i="8"/>
  <c r="BN14" i="8"/>
  <c r="BM14" i="8"/>
  <c r="BL14" i="8"/>
  <c r="BB14" i="8"/>
  <c r="BD14" i="8" s="1"/>
  <c r="BA14" i="8"/>
  <c r="AZ14" i="8"/>
  <c r="AY14" i="8"/>
  <c r="AP14" i="8"/>
  <c r="AP15" i="8" s="1"/>
  <c r="AP16" i="8" s="1"/>
  <c r="AP17" i="8" s="1"/>
  <c r="AP18" i="8" s="1"/>
  <c r="AP19" i="8" s="1"/>
  <c r="AP20" i="8" s="1"/>
  <c r="AP21" i="8" s="1"/>
  <c r="AP22" i="8" s="1"/>
  <c r="AP23" i="8" s="1"/>
  <c r="AP24" i="8" s="1"/>
  <c r="AP25" i="8" s="1"/>
  <c r="AP26" i="8" s="1"/>
  <c r="AP27" i="8" s="1"/>
  <c r="AP28" i="8" s="1"/>
  <c r="AP29" i="8" s="1"/>
  <c r="AP30" i="8" s="1"/>
  <c r="AP31" i="8" s="1"/>
  <c r="AP32" i="8" s="1"/>
  <c r="AP33" i="8" s="1"/>
  <c r="AP34" i="8" s="1"/>
  <c r="AP35" i="8" s="1"/>
  <c r="AP36" i="8" s="1"/>
  <c r="AP37" i="8" s="1"/>
  <c r="AP38" i="8" s="1"/>
  <c r="AP39" i="8" s="1"/>
  <c r="AP40" i="8" s="1"/>
  <c r="AP41" i="8" s="1"/>
  <c r="AP42" i="8" s="1"/>
  <c r="AP43" i="8" s="1"/>
  <c r="AP44" i="8" s="1"/>
  <c r="AP45" i="8" s="1"/>
  <c r="AP46" i="8" s="1"/>
  <c r="AB14" i="8"/>
  <c r="AB15" i="8" s="1"/>
  <c r="AB16" i="8" s="1"/>
  <c r="AB17" i="8" s="1"/>
  <c r="BP13" i="8"/>
  <c r="BO13" i="8"/>
  <c r="BN13" i="8"/>
  <c r="BM13" i="8"/>
  <c r="BL13" i="8"/>
  <c r="BQ13" i="8" s="1"/>
  <c r="BB13" i="8"/>
  <c r="BD13" i="8" s="1"/>
  <c r="BA13" i="8"/>
  <c r="AZ13" i="8"/>
  <c r="AY13" i="8"/>
  <c r="BP11" i="8"/>
  <c r="BO11" i="8"/>
  <c r="BN11" i="8"/>
  <c r="BM11" i="8"/>
  <c r="BL11" i="8"/>
  <c r="BP10" i="8"/>
  <c r="BO10" i="8"/>
  <c r="BN10" i="8"/>
  <c r="BM10" i="8"/>
  <c r="BL10" i="8"/>
  <c r="Z8" i="8"/>
  <c r="J8" i="8"/>
  <c r="AC7" i="8"/>
  <c r="F25" i="8" s="1"/>
  <c r="G7" i="8"/>
  <c r="F10" i="8" s="1"/>
  <c r="D6" i="8"/>
  <c r="D3" i="8"/>
  <c r="BP46" i="9"/>
  <c r="BO46" i="9"/>
  <c r="BN46" i="9"/>
  <c r="BM46" i="9"/>
  <c r="BL46" i="9"/>
  <c r="BB46" i="9"/>
  <c r="BD46" i="9" s="1"/>
  <c r="BA46" i="9"/>
  <c r="AZ46" i="9"/>
  <c r="BC46" i="9" s="1"/>
  <c r="AY46" i="9"/>
  <c r="BP45" i="9"/>
  <c r="BO45" i="9"/>
  <c r="BN45" i="9"/>
  <c r="BM45" i="9"/>
  <c r="BL45" i="9"/>
  <c r="BQ45" i="9" s="1"/>
  <c r="BB45" i="9"/>
  <c r="BD45" i="9" s="1"/>
  <c r="BA45" i="9"/>
  <c r="AZ45" i="9"/>
  <c r="BC45" i="9" s="1"/>
  <c r="AY45" i="9"/>
  <c r="BP44" i="9"/>
  <c r="BO44" i="9"/>
  <c r="BN44" i="9"/>
  <c r="BM44" i="9"/>
  <c r="BL44" i="9"/>
  <c r="BB44" i="9"/>
  <c r="BD44" i="9" s="1"/>
  <c r="BA44" i="9"/>
  <c r="AZ44" i="9"/>
  <c r="BC44" i="9" s="1"/>
  <c r="AY44" i="9"/>
  <c r="BP43" i="9"/>
  <c r="BO43" i="9"/>
  <c r="BN43" i="9"/>
  <c r="BM43" i="9"/>
  <c r="BL43" i="9"/>
  <c r="BQ43" i="9" s="1"/>
  <c r="BB43" i="9"/>
  <c r="BD43" i="9" s="1"/>
  <c r="BA43" i="9"/>
  <c r="AZ43" i="9"/>
  <c r="BC43" i="9" s="1"/>
  <c r="AY43" i="9"/>
  <c r="BP42" i="9"/>
  <c r="BO42" i="9"/>
  <c r="BN42" i="9"/>
  <c r="BM42" i="9"/>
  <c r="BL42" i="9"/>
  <c r="BB42" i="9"/>
  <c r="BD42" i="9" s="1"/>
  <c r="BA42" i="9"/>
  <c r="AZ42" i="9"/>
  <c r="BC42" i="9" s="1"/>
  <c r="AY42" i="9"/>
  <c r="BP41" i="9"/>
  <c r="BO41" i="9"/>
  <c r="BN41" i="9"/>
  <c r="BM41" i="9"/>
  <c r="BL41" i="9"/>
  <c r="BQ41" i="9" s="1"/>
  <c r="BB41" i="9"/>
  <c r="BD41" i="9" s="1"/>
  <c r="BA41" i="9"/>
  <c r="AZ41" i="9"/>
  <c r="BC41" i="9" s="1"/>
  <c r="AY41" i="9"/>
  <c r="BP40" i="9"/>
  <c r="BO40" i="9"/>
  <c r="BN40" i="9"/>
  <c r="BM40" i="9"/>
  <c r="BL40" i="9"/>
  <c r="BC40" i="9"/>
  <c r="BB40" i="9"/>
  <c r="BD40" i="9" s="1"/>
  <c r="BA40" i="9"/>
  <c r="AZ40" i="9"/>
  <c r="AY40" i="9"/>
  <c r="BP39" i="9"/>
  <c r="BO39" i="9"/>
  <c r="BN39" i="9"/>
  <c r="BM39" i="9"/>
  <c r="BL39" i="9"/>
  <c r="BB39" i="9"/>
  <c r="BD39" i="9" s="1"/>
  <c r="BA39" i="9"/>
  <c r="AZ39" i="9"/>
  <c r="AY39" i="9"/>
  <c r="BP38" i="9"/>
  <c r="BO38" i="9"/>
  <c r="BN38" i="9"/>
  <c r="BM38" i="9"/>
  <c r="BL38" i="9"/>
  <c r="BB38" i="9"/>
  <c r="BD38" i="9" s="1"/>
  <c r="BA38" i="9"/>
  <c r="BC38" i="9" s="1"/>
  <c r="AZ38" i="9"/>
  <c r="AY38" i="9"/>
  <c r="BP37" i="9"/>
  <c r="BO37" i="9"/>
  <c r="BN37" i="9"/>
  <c r="BM37" i="9"/>
  <c r="BL37" i="9"/>
  <c r="BB37" i="9"/>
  <c r="BD37" i="9" s="1"/>
  <c r="BA37" i="9"/>
  <c r="AZ37" i="9"/>
  <c r="AY37" i="9"/>
  <c r="BP36" i="9"/>
  <c r="BO36" i="9"/>
  <c r="BN36" i="9"/>
  <c r="BM36" i="9"/>
  <c r="BL36" i="9"/>
  <c r="BQ36" i="9" s="1"/>
  <c r="BB36" i="9"/>
  <c r="BD36" i="9" s="1"/>
  <c r="BA36" i="9"/>
  <c r="BC36" i="9" s="1"/>
  <c r="AZ36" i="9"/>
  <c r="AY36" i="9"/>
  <c r="BP35" i="9"/>
  <c r="BO35" i="9"/>
  <c r="BN35" i="9"/>
  <c r="BM35" i="9"/>
  <c r="BL35" i="9"/>
  <c r="BB35" i="9"/>
  <c r="BD35" i="9" s="1"/>
  <c r="BA35" i="9"/>
  <c r="AZ35" i="9"/>
  <c r="AY35" i="9"/>
  <c r="BP34" i="9"/>
  <c r="BO34" i="9"/>
  <c r="BN34" i="9"/>
  <c r="BM34" i="9"/>
  <c r="BL34" i="9"/>
  <c r="BB34" i="9"/>
  <c r="BD34" i="9" s="1"/>
  <c r="BA34" i="9"/>
  <c r="BC34" i="9" s="1"/>
  <c r="AZ34" i="9"/>
  <c r="AY34" i="9"/>
  <c r="BP33" i="9"/>
  <c r="BO33" i="9"/>
  <c r="BN33" i="9"/>
  <c r="BM33" i="9"/>
  <c r="BL33" i="9"/>
  <c r="BB33" i="9"/>
  <c r="BD33" i="9" s="1"/>
  <c r="BA33" i="9"/>
  <c r="AZ33" i="9"/>
  <c r="AY33" i="9"/>
  <c r="BP32" i="9"/>
  <c r="BO32" i="9"/>
  <c r="BN32" i="9"/>
  <c r="BM32" i="9"/>
  <c r="BL32" i="9"/>
  <c r="BQ32" i="9" s="1"/>
  <c r="BB32" i="9"/>
  <c r="BD32" i="9" s="1"/>
  <c r="BA32" i="9"/>
  <c r="BC32" i="9" s="1"/>
  <c r="AZ32" i="9"/>
  <c r="AY32" i="9"/>
  <c r="BP31" i="9"/>
  <c r="BO31" i="9"/>
  <c r="BN31" i="9"/>
  <c r="BM31" i="9"/>
  <c r="BL31" i="9"/>
  <c r="BB31" i="9"/>
  <c r="BD31" i="9" s="1"/>
  <c r="BA31" i="9"/>
  <c r="AZ31" i="9"/>
  <c r="AY31" i="9"/>
  <c r="BP30" i="9"/>
  <c r="BO30" i="9"/>
  <c r="BN30" i="9"/>
  <c r="BM30" i="9"/>
  <c r="BL30" i="9"/>
  <c r="BB30" i="9"/>
  <c r="BD30" i="9" s="1"/>
  <c r="BA30" i="9"/>
  <c r="BC30" i="9" s="1"/>
  <c r="AZ30" i="9"/>
  <c r="AY30" i="9"/>
  <c r="BP29" i="9"/>
  <c r="BO29" i="9"/>
  <c r="BN29" i="9"/>
  <c r="BM29" i="9"/>
  <c r="BL29" i="9"/>
  <c r="BB29" i="9"/>
  <c r="BD29" i="9" s="1"/>
  <c r="BA29" i="9"/>
  <c r="AZ29" i="9"/>
  <c r="AY29" i="9"/>
  <c r="BP28" i="9"/>
  <c r="BO28" i="9"/>
  <c r="BN28" i="9"/>
  <c r="BM28" i="9"/>
  <c r="BL28" i="9"/>
  <c r="BQ28" i="9" s="1"/>
  <c r="BB28" i="9"/>
  <c r="BD28" i="9" s="1"/>
  <c r="BA28" i="9"/>
  <c r="BC28" i="9" s="1"/>
  <c r="AZ28" i="9"/>
  <c r="AY28" i="9"/>
  <c r="BP27" i="9"/>
  <c r="BO27" i="9"/>
  <c r="BN27" i="9"/>
  <c r="BM27" i="9"/>
  <c r="BL27" i="9"/>
  <c r="BB27" i="9"/>
  <c r="BD27" i="9" s="1"/>
  <c r="BA27" i="9"/>
  <c r="AZ27" i="9"/>
  <c r="AY27" i="9"/>
  <c r="BP26" i="9"/>
  <c r="BO26" i="9"/>
  <c r="BN26" i="9"/>
  <c r="BM26" i="9"/>
  <c r="BL26" i="9"/>
  <c r="BB26" i="9"/>
  <c r="BD26" i="9" s="1"/>
  <c r="BA26" i="9"/>
  <c r="AZ26" i="9"/>
  <c r="BC26" i="9" s="1"/>
  <c r="AY26" i="9"/>
  <c r="BP25" i="9"/>
  <c r="BO25" i="9"/>
  <c r="BN25" i="9"/>
  <c r="BM25" i="9"/>
  <c r="BL25" i="9"/>
  <c r="BQ25" i="9" s="1"/>
  <c r="BD25" i="9"/>
  <c r="BB25" i="9"/>
  <c r="BA25" i="9"/>
  <c r="BC25" i="9" s="1"/>
  <c r="AZ25" i="9"/>
  <c r="AY25" i="9"/>
  <c r="BP24" i="9"/>
  <c r="BO24" i="9"/>
  <c r="BN24" i="9"/>
  <c r="BM24" i="9"/>
  <c r="BL24" i="9"/>
  <c r="BB24" i="9"/>
  <c r="BD24" i="9" s="1"/>
  <c r="BA24" i="9"/>
  <c r="AZ24" i="9"/>
  <c r="AY24" i="9"/>
  <c r="BP23" i="9"/>
  <c r="BO23" i="9"/>
  <c r="BN23" i="9"/>
  <c r="BM23" i="9"/>
  <c r="BL23" i="9"/>
  <c r="BB23" i="9"/>
  <c r="BD23" i="9" s="1"/>
  <c r="BA23" i="9"/>
  <c r="AZ23" i="9"/>
  <c r="AY23" i="9"/>
  <c r="BP22" i="9"/>
  <c r="BO22" i="9"/>
  <c r="BN22" i="9"/>
  <c r="BM22" i="9"/>
  <c r="BL22" i="9"/>
  <c r="BB22" i="9"/>
  <c r="BD22" i="9" s="1"/>
  <c r="BA22" i="9"/>
  <c r="AZ22" i="9"/>
  <c r="AY22" i="9"/>
  <c r="BP21" i="9"/>
  <c r="BO21" i="9"/>
  <c r="BN21" i="9"/>
  <c r="BM21" i="9"/>
  <c r="BL21" i="9"/>
  <c r="BB21" i="9"/>
  <c r="BD21" i="9" s="1"/>
  <c r="BA21" i="9"/>
  <c r="AZ21" i="9"/>
  <c r="AY21" i="9"/>
  <c r="BP20" i="9"/>
  <c r="BO20" i="9"/>
  <c r="BN20" i="9"/>
  <c r="BM20" i="9"/>
  <c r="BL20" i="9"/>
  <c r="BB20" i="9"/>
  <c r="BD20" i="9" s="1"/>
  <c r="BA20" i="9"/>
  <c r="AZ20" i="9"/>
  <c r="AY20" i="9"/>
  <c r="BP19" i="9"/>
  <c r="BO19" i="9"/>
  <c r="BN19" i="9"/>
  <c r="BM19" i="9"/>
  <c r="BL19" i="9"/>
  <c r="BB19" i="9"/>
  <c r="BD19" i="9" s="1"/>
  <c r="BA19" i="9"/>
  <c r="AZ19" i="9"/>
  <c r="AY19" i="9"/>
  <c r="AB19" i="9"/>
  <c r="AB20" i="9" s="1"/>
  <c r="AB21" i="9" s="1"/>
  <c r="AB22" i="9" s="1"/>
  <c r="AB23" i="9" s="1"/>
  <c r="AB24" i="9" s="1"/>
  <c r="AB25" i="9" s="1"/>
  <c r="AB28" i="9" s="1"/>
  <c r="AB29" i="9" s="1"/>
  <c r="AB30" i="9" s="1"/>
  <c r="AB31" i="9" s="1"/>
  <c r="AB32" i="9" s="1"/>
  <c r="AB33" i="9" s="1"/>
  <c r="AB34" i="9" s="1"/>
  <c r="AB35" i="9" s="1"/>
  <c r="AB36" i="9" s="1"/>
  <c r="AB37" i="9" s="1"/>
  <c r="AB38" i="9" s="1"/>
  <c r="AB39" i="9" s="1"/>
  <c r="AB40" i="9" s="1"/>
  <c r="AB41" i="9" s="1"/>
  <c r="AB42" i="9" s="1"/>
  <c r="AB43" i="9" s="1"/>
  <c r="BP18" i="9"/>
  <c r="BO18" i="9"/>
  <c r="BN18" i="9"/>
  <c r="BM18" i="9"/>
  <c r="BL18" i="9"/>
  <c r="BB18" i="9"/>
  <c r="BD18" i="9" s="1"/>
  <c r="BA18" i="9"/>
  <c r="AZ18" i="9"/>
  <c r="AY18" i="9"/>
  <c r="BP17" i="9"/>
  <c r="BO17" i="9"/>
  <c r="BN17" i="9"/>
  <c r="BM17" i="9"/>
  <c r="BL17" i="9"/>
  <c r="BB17" i="9"/>
  <c r="BD17" i="9" s="1"/>
  <c r="BA17" i="9"/>
  <c r="AZ17" i="9"/>
  <c r="AY17" i="9"/>
  <c r="BP16" i="9"/>
  <c r="BO16" i="9"/>
  <c r="BN16" i="9"/>
  <c r="BM16" i="9"/>
  <c r="BL16" i="9"/>
  <c r="BB16" i="9"/>
  <c r="BD16" i="9" s="1"/>
  <c r="BA16" i="9"/>
  <c r="AZ16" i="9"/>
  <c r="BC16" i="9" s="1"/>
  <c r="AY16" i="9"/>
  <c r="BP15" i="9"/>
  <c r="BO15" i="9"/>
  <c r="BN15" i="9"/>
  <c r="BM15" i="9"/>
  <c r="BL15" i="9"/>
  <c r="BB15" i="9"/>
  <c r="BD15" i="9" s="1"/>
  <c r="BA15" i="9"/>
  <c r="AZ15" i="9"/>
  <c r="AY15" i="9"/>
  <c r="BP14" i="9"/>
  <c r="BO14" i="9"/>
  <c r="BN14" i="9"/>
  <c r="BM14" i="9"/>
  <c r="BL14" i="9"/>
  <c r="BB14" i="9"/>
  <c r="BD14" i="9" s="1"/>
  <c r="BA14" i="9"/>
  <c r="AZ14" i="9"/>
  <c r="AY14" i="9"/>
  <c r="AP14" i="9"/>
  <c r="AP15" i="9" s="1"/>
  <c r="AP16" i="9" s="1"/>
  <c r="AP17" i="9" s="1"/>
  <c r="AP18" i="9" s="1"/>
  <c r="AP19" i="9" s="1"/>
  <c r="AP20" i="9" s="1"/>
  <c r="AP21" i="9" s="1"/>
  <c r="AP22" i="9" s="1"/>
  <c r="AP23" i="9" s="1"/>
  <c r="AP24" i="9" s="1"/>
  <c r="AP25" i="9" s="1"/>
  <c r="AP26" i="9" s="1"/>
  <c r="AP27" i="9" s="1"/>
  <c r="AP28" i="9" s="1"/>
  <c r="AP29" i="9" s="1"/>
  <c r="AP30" i="9" s="1"/>
  <c r="AP31" i="9" s="1"/>
  <c r="AP32" i="9" s="1"/>
  <c r="AP33" i="9" s="1"/>
  <c r="AP34" i="9" s="1"/>
  <c r="AP35" i="9" s="1"/>
  <c r="AP36" i="9" s="1"/>
  <c r="AP37" i="9" s="1"/>
  <c r="AP38" i="9" s="1"/>
  <c r="AP39" i="9" s="1"/>
  <c r="AP40" i="9" s="1"/>
  <c r="AP41" i="9" s="1"/>
  <c r="AP42" i="9" s="1"/>
  <c r="AP43" i="9" s="1"/>
  <c r="AP44" i="9" s="1"/>
  <c r="AP45" i="9" s="1"/>
  <c r="AP46" i="9" s="1"/>
  <c r="AB14" i="9"/>
  <c r="AB15" i="9" s="1"/>
  <c r="AB16" i="9" s="1"/>
  <c r="AB17" i="9" s="1"/>
  <c r="BP13" i="9"/>
  <c r="BO13" i="9"/>
  <c r="BN13" i="9"/>
  <c r="BM13" i="9"/>
  <c r="BL13" i="9"/>
  <c r="BB13" i="9"/>
  <c r="BD13" i="9" s="1"/>
  <c r="BA13" i="9"/>
  <c r="AZ13" i="9"/>
  <c r="AY13" i="9"/>
  <c r="BP11" i="9"/>
  <c r="BO11" i="9"/>
  <c r="BN11" i="9"/>
  <c r="BM11" i="9"/>
  <c r="BL11" i="9"/>
  <c r="BP10" i="9"/>
  <c r="BO10" i="9"/>
  <c r="BN10" i="9"/>
  <c r="BM10" i="9"/>
  <c r="BL10" i="9"/>
  <c r="Z8" i="9"/>
  <c r="J8" i="9"/>
  <c r="AC7" i="9"/>
  <c r="F25" i="9" s="1"/>
  <c r="G7" i="9"/>
  <c r="F10" i="9" s="1"/>
  <c r="D6" i="9"/>
  <c r="D3" i="9"/>
  <c r="BP46" i="10"/>
  <c r="BO46" i="10"/>
  <c r="BN46" i="10"/>
  <c r="BM46" i="10"/>
  <c r="BL46" i="10"/>
  <c r="BB46" i="10"/>
  <c r="BD46" i="10" s="1"/>
  <c r="BA46" i="10"/>
  <c r="AZ46" i="10"/>
  <c r="AY46" i="10"/>
  <c r="BP45" i="10"/>
  <c r="BO45" i="10"/>
  <c r="BN45" i="10"/>
  <c r="BM45" i="10"/>
  <c r="BQ45" i="10" s="1"/>
  <c r="BL45" i="10"/>
  <c r="BB45" i="10"/>
  <c r="BD45" i="10" s="1"/>
  <c r="BA45" i="10"/>
  <c r="AZ45" i="10"/>
  <c r="AY45" i="10"/>
  <c r="BP44" i="10"/>
  <c r="BO44" i="10"/>
  <c r="BN44" i="10"/>
  <c r="BM44" i="10"/>
  <c r="BL44" i="10"/>
  <c r="BB44" i="10"/>
  <c r="BD44" i="10" s="1"/>
  <c r="BA44" i="10"/>
  <c r="BC44" i="10" s="1"/>
  <c r="AZ44" i="10"/>
  <c r="AY44" i="10"/>
  <c r="BP43" i="10"/>
  <c r="BO43" i="10"/>
  <c r="BN43" i="10"/>
  <c r="BM43" i="10"/>
  <c r="BL43" i="10"/>
  <c r="BB43" i="10"/>
  <c r="BD43" i="10" s="1"/>
  <c r="BA43" i="10"/>
  <c r="AZ43" i="10"/>
  <c r="AY43" i="10"/>
  <c r="BP42" i="10"/>
  <c r="BO42" i="10"/>
  <c r="BN42" i="10"/>
  <c r="BM42" i="10"/>
  <c r="BL42" i="10"/>
  <c r="BB42" i="10"/>
  <c r="BD42" i="10" s="1"/>
  <c r="BA42" i="10"/>
  <c r="BC42" i="10" s="1"/>
  <c r="AZ42" i="10"/>
  <c r="AY42" i="10"/>
  <c r="BP41" i="10"/>
  <c r="BO41" i="10"/>
  <c r="BN41" i="10"/>
  <c r="BM41" i="10"/>
  <c r="BQ41" i="10" s="1"/>
  <c r="BL41" i="10"/>
  <c r="BB41" i="10"/>
  <c r="BD41" i="10" s="1"/>
  <c r="BA41" i="10"/>
  <c r="AZ41" i="10"/>
  <c r="AY41" i="10"/>
  <c r="BP40" i="10"/>
  <c r="BO40" i="10"/>
  <c r="BN40" i="10"/>
  <c r="BM40" i="10"/>
  <c r="BL40" i="10"/>
  <c r="BB40" i="10"/>
  <c r="BD40" i="10" s="1"/>
  <c r="BA40" i="10"/>
  <c r="BC40" i="10" s="1"/>
  <c r="AZ40" i="10"/>
  <c r="AY40" i="10"/>
  <c r="BP39" i="10"/>
  <c r="BO39" i="10"/>
  <c r="BN39" i="10"/>
  <c r="BM39" i="10"/>
  <c r="BL39" i="10"/>
  <c r="BD39" i="10"/>
  <c r="BB39" i="10"/>
  <c r="BA39" i="10"/>
  <c r="AZ39" i="10"/>
  <c r="AY39" i="10"/>
  <c r="BP38" i="10"/>
  <c r="BO38" i="10"/>
  <c r="BN38" i="10"/>
  <c r="BM38" i="10"/>
  <c r="BL38" i="10"/>
  <c r="BD38" i="10"/>
  <c r="BB38" i="10"/>
  <c r="BA38" i="10"/>
  <c r="AZ38" i="10"/>
  <c r="AY38" i="10"/>
  <c r="BP37" i="10"/>
  <c r="BO37" i="10"/>
  <c r="BN37" i="10"/>
  <c r="BM37" i="10"/>
  <c r="BL37" i="10"/>
  <c r="BD37" i="10"/>
  <c r="BB37" i="10"/>
  <c r="BA37" i="10"/>
  <c r="AZ37" i="10"/>
  <c r="AY37" i="10"/>
  <c r="BP36" i="10"/>
  <c r="BO36" i="10"/>
  <c r="BN36" i="10"/>
  <c r="BM36" i="10"/>
  <c r="BL36" i="10"/>
  <c r="BB36" i="10"/>
  <c r="BD36" i="10" s="1"/>
  <c r="BA36" i="10"/>
  <c r="AZ36" i="10"/>
  <c r="BC36" i="10" s="1"/>
  <c r="AY36" i="10"/>
  <c r="BP35" i="10"/>
  <c r="BO35" i="10"/>
  <c r="BN35" i="10"/>
  <c r="BM35" i="10"/>
  <c r="BL35" i="10"/>
  <c r="BQ35" i="10" s="1"/>
  <c r="AO35" i="10" s="1"/>
  <c r="BD35" i="10"/>
  <c r="BB35" i="10"/>
  <c r="BA35" i="10"/>
  <c r="BC35" i="10" s="1"/>
  <c r="AZ35" i="10"/>
  <c r="AY35" i="10"/>
  <c r="BP34" i="10"/>
  <c r="BO34" i="10"/>
  <c r="BN34" i="10"/>
  <c r="BM34" i="10"/>
  <c r="BL34" i="10"/>
  <c r="BD34" i="10"/>
  <c r="BB34" i="10"/>
  <c r="BA34" i="10"/>
  <c r="AZ34" i="10"/>
  <c r="AY34" i="10"/>
  <c r="BP33" i="10"/>
  <c r="BO33" i="10"/>
  <c r="BN33" i="10"/>
  <c r="BM33" i="10"/>
  <c r="BL33" i="10"/>
  <c r="BB33" i="10"/>
  <c r="BD33" i="10" s="1"/>
  <c r="BA33" i="10"/>
  <c r="AZ33" i="10"/>
  <c r="BC33" i="10" s="1"/>
  <c r="AY33" i="10"/>
  <c r="BP32" i="10"/>
  <c r="BO32" i="10"/>
  <c r="BN32" i="10"/>
  <c r="BM32" i="10"/>
  <c r="BL32" i="10"/>
  <c r="BB32" i="10"/>
  <c r="BD32" i="10" s="1"/>
  <c r="BA32" i="10"/>
  <c r="AZ32" i="10"/>
  <c r="BC32" i="10" s="1"/>
  <c r="AY32" i="10"/>
  <c r="BP31" i="10"/>
  <c r="BO31" i="10"/>
  <c r="BN31" i="10"/>
  <c r="BM31" i="10"/>
  <c r="BL31" i="10"/>
  <c r="BC31" i="10"/>
  <c r="BB31" i="10"/>
  <c r="BD31" i="10" s="1"/>
  <c r="BA31" i="10"/>
  <c r="AZ31" i="10"/>
  <c r="AY31" i="10"/>
  <c r="BP30" i="10"/>
  <c r="BO30" i="10"/>
  <c r="BN30" i="10"/>
  <c r="BM30" i="10"/>
  <c r="BL30" i="10"/>
  <c r="BD30" i="10"/>
  <c r="BB30" i="10"/>
  <c r="BA30" i="10"/>
  <c r="AZ30" i="10"/>
  <c r="AY30" i="10"/>
  <c r="BP29" i="10"/>
  <c r="BO29" i="10"/>
  <c r="BN29" i="10"/>
  <c r="BM29" i="10"/>
  <c r="BL29" i="10"/>
  <c r="BD29" i="10"/>
  <c r="BB29" i="10"/>
  <c r="BA29" i="10"/>
  <c r="AZ29" i="10"/>
  <c r="AY29" i="10"/>
  <c r="BP28" i="10"/>
  <c r="BO28" i="10"/>
  <c r="BN28" i="10"/>
  <c r="BM28" i="10"/>
  <c r="BL28" i="10"/>
  <c r="BB28" i="10"/>
  <c r="BD28" i="10" s="1"/>
  <c r="BA28" i="10"/>
  <c r="AZ28" i="10"/>
  <c r="AY28" i="10"/>
  <c r="BP27" i="10"/>
  <c r="BO27" i="10"/>
  <c r="BN27" i="10"/>
  <c r="BM27" i="10"/>
  <c r="BL27" i="10"/>
  <c r="BD27" i="10"/>
  <c r="BB27" i="10"/>
  <c r="BA27" i="10"/>
  <c r="BC27" i="10" s="1"/>
  <c r="AZ27" i="10"/>
  <c r="AY27" i="10"/>
  <c r="BP26" i="10"/>
  <c r="BO26" i="10"/>
  <c r="BN26" i="10"/>
  <c r="BM26" i="10"/>
  <c r="BL26" i="10"/>
  <c r="BC26" i="10"/>
  <c r="BB26" i="10"/>
  <c r="BD26" i="10" s="1"/>
  <c r="BA26" i="10"/>
  <c r="AZ26" i="10"/>
  <c r="AY26" i="10"/>
  <c r="BP25" i="10"/>
  <c r="BO25" i="10"/>
  <c r="BN25" i="10"/>
  <c r="BM25" i="10"/>
  <c r="BQ25" i="10" s="1"/>
  <c r="BL25" i="10"/>
  <c r="BB25" i="10"/>
  <c r="BD25" i="10" s="1"/>
  <c r="BA25" i="10"/>
  <c r="AZ25" i="10"/>
  <c r="AY25" i="10"/>
  <c r="BP24" i="10"/>
  <c r="BO24" i="10"/>
  <c r="BN24" i="10"/>
  <c r="BM24" i="10"/>
  <c r="BL24" i="10"/>
  <c r="BB24" i="10"/>
  <c r="BD24" i="10" s="1"/>
  <c r="BA24" i="10"/>
  <c r="AZ24" i="10"/>
  <c r="BC24" i="10" s="1"/>
  <c r="AY24" i="10"/>
  <c r="BP23" i="10"/>
  <c r="BO23" i="10"/>
  <c r="BN23" i="10"/>
  <c r="BM23" i="10"/>
  <c r="BL23" i="10"/>
  <c r="BB23" i="10"/>
  <c r="BD23" i="10" s="1"/>
  <c r="BA23" i="10"/>
  <c r="AZ23" i="10"/>
  <c r="AY23" i="10"/>
  <c r="BP22" i="10"/>
  <c r="BO22" i="10"/>
  <c r="BN22" i="10"/>
  <c r="BM22" i="10"/>
  <c r="BL22" i="10"/>
  <c r="BB22" i="10"/>
  <c r="BD22" i="10" s="1"/>
  <c r="BA22" i="10"/>
  <c r="AZ22" i="10"/>
  <c r="AY22" i="10"/>
  <c r="BP21" i="10"/>
  <c r="BO21" i="10"/>
  <c r="BN21" i="10"/>
  <c r="BM21" i="10"/>
  <c r="BL21" i="10"/>
  <c r="BB21" i="10"/>
  <c r="BD21" i="10" s="1"/>
  <c r="BA21" i="10"/>
  <c r="AZ21" i="10"/>
  <c r="AY21" i="10"/>
  <c r="BP20" i="10"/>
  <c r="BO20" i="10"/>
  <c r="BN20" i="10"/>
  <c r="BM20" i="10"/>
  <c r="BL20" i="10"/>
  <c r="BB20" i="10"/>
  <c r="BD20" i="10" s="1"/>
  <c r="BA20" i="10"/>
  <c r="AZ20" i="10"/>
  <c r="AY20" i="10"/>
  <c r="BP19" i="10"/>
  <c r="BO19" i="10"/>
  <c r="BN19" i="10"/>
  <c r="BM19" i="10"/>
  <c r="BL19" i="10"/>
  <c r="BB19" i="10"/>
  <c r="BD19" i="10" s="1"/>
  <c r="BA19" i="10"/>
  <c r="AZ19" i="10"/>
  <c r="AY19" i="10"/>
  <c r="AB19" i="10"/>
  <c r="AB20" i="10" s="1"/>
  <c r="AB21" i="10" s="1"/>
  <c r="AB22" i="10" s="1"/>
  <c r="AB23" i="10" s="1"/>
  <c r="AB24" i="10" s="1"/>
  <c r="AB25" i="10" s="1"/>
  <c r="AB28" i="10" s="1"/>
  <c r="AB29" i="10" s="1"/>
  <c r="AB30" i="10" s="1"/>
  <c r="AB31" i="10" s="1"/>
  <c r="AB32" i="10" s="1"/>
  <c r="AB33" i="10" s="1"/>
  <c r="AB34" i="10" s="1"/>
  <c r="AB35" i="10" s="1"/>
  <c r="AB36" i="10" s="1"/>
  <c r="AB37" i="10" s="1"/>
  <c r="AB38" i="10" s="1"/>
  <c r="AB39" i="10" s="1"/>
  <c r="AB40" i="10" s="1"/>
  <c r="AB41" i="10" s="1"/>
  <c r="AB42" i="10" s="1"/>
  <c r="AB43" i="10" s="1"/>
  <c r="BP18" i="10"/>
  <c r="BO18" i="10"/>
  <c r="BN18" i="10"/>
  <c r="BM18" i="10"/>
  <c r="BL18" i="10"/>
  <c r="BB18" i="10"/>
  <c r="BD18" i="10" s="1"/>
  <c r="BA18" i="10"/>
  <c r="AZ18" i="10"/>
  <c r="BC18" i="10" s="1"/>
  <c r="AY18" i="10"/>
  <c r="BP17" i="10"/>
  <c r="BO17" i="10"/>
  <c r="BN17" i="10"/>
  <c r="BM17" i="10"/>
  <c r="BL17" i="10"/>
  <c r="BB17" i="10"/>
  <c r="BD17" i="10" s="1"/>
  <c r="BA17" i="10"/>
  <c r="AZ17" i="10"/>
  <c r="AY17" i="10"/>
  <c r="BP16" i="10"/>
  <c r="BO16" i="10"/>
  <c r="BN16" i="10"/>
  <c r="BM16" i="10"/>
  <c r="BL16" i="10"/>
  <c r="BB16" i="10"/>
  <c r="BD16" i="10" s="1"/>
  <c r="BA16" i="10"/>
  <c r="AZ16" i="10"/>
  <c r="AY16" i="10"/>
  <c r="BP15" i="10"/>
  <c r="BO15" i="10"/>
  <c r="BN15" i="10"/>
  <c r="BM15" i="10"/>
  <c r="BL15" i="10"/>
  <c r="BB15" i="10"/>
  <c r="BD15" i="10" s="1"/>
  <c r="BA15" i="10"/>
  <c r="AZ15" i="10"/>
  <c r="AY15" i="10"/>
  <c r="BP14" i="10"/>
  <c r="BO14" i="10"/>
  <c r="BN14" i="10"/>
  <c r="BM14" i="10"/>
  <c r="BL14" i="10"/>
  <c r="BB14" i="10"/>
  <c r="BD14" i="10" s="1"/>
  <c r="BA14" i="10"/>
  <c r="AZ14" i="10"/>
  <c r="AY14" i="10"/>
  <c r="AP14" i="10"/>
  <c r="AP15" i="10" s="1"/>
  <c r="AP16" i="10" s="1"/>
  <c r="AP17" i="10" s="1"/>
  <c r="AP18" i="10" s="1"/>
  <c r="AP19" i="10" s="1"/>
  <c r="AP20" i="10" s="1"/>
  <c r="AP21" i="10" s="1"/>
  <c r="AP22" i="10" s="1"/>
  <c r="AP23" i="10" s="1"/>
  <c r="AP24" i="10" s="1"/>
  <c r="AP25" i="10" s="1"/>
  <c r="AP26" i="10" s="1"/>
  <c r="AP27" i="10" s="1"/>
  <c r="AP28" i="10" s="1"/>
  <c r="AP29" i="10" s="1"/>
  <c r="AP30" i="10" s="1"/>
  <c r="AP31" i="10" s="1"/>
  <c r="AP32" i="10" s="1"/>
  <c r="AP33" i="10" s="1"/>
  <c r="AP34" i="10" s="1"/>
  <c r="AP35" i="10" s="1"/>
  <c r="AP36" i="10" s="1"/>
  <c r="AP37" i="10" s="1"/>
  <c r="AP38" i="10" s="1"/>
  <c r="AP39" i="10" s="1"/>
  <c r="AP40" i="10" s="1"/>
  <c r="AP41" i="10" s="1"/>
  <c r="AP42" i="10" s="1"/>
  <c r="AP43" i="10" s="1"/>
  <c r="AP44" i="10" s="1"/>
  <c r="AP45" i="10" s="1"/>
  <c r="AP46" i="10" s="1"/>
  <c r="AB14" i="10"/>
  <c r="AB15" i="10" s="1"/>
  <c r="AB16" i="10" s="1"/>
  <c r="AB17" i="10" s="1"/>
  <c r="BP13" i="10"/>
  <c r="BO13" i="10"/>
  <c r="BN13" i="10"/>
  <c r="BM13" i="10"/>
  <c r="BL13" i="10"/>
  <c r="BB13" i="10"/>
  <c r="BD13" i="10" s="1"/>
  <c r="BA13" i="10"/>
  <c r="AZ13" i="10"/>
  <c r="AY13" i="10"/>
  <c r="BP11" i="10"/>
  <c r="BO11" i="10"/>
  <c r="BN11" i="10"/>
  <c r="BM11" i="10"/>
  <c r="BL11" i="10"/>
  <c r="BP10" i="10"/>
  <c r="BO10" i="10"/>
  <c r="BN10" i="10"/>
  <c r="BM10" i="10"/>
  <c r="BL10" i="10"/>
  <c r="Z8" i="10"/>
  <c r="J8" i="10"/>
  <c r="AC7" i="10"/>
  <c r="F25" i="10" s="1"/>
  <c r="G7" i="10"/>
  <c r="F10" i="10" s="1"/>
  <c r="D6" i="10"/>
  <c r="D3" i="10"/>
  <c r="BP46" i="11"/>
  <c r="BO46" i="11"/>
  <c r="BN46" i="11"/>
  <c r="BM46" i="11"/>
  <c r="BL46" i="11"/>
  <c r="BB46" i="11"/>
  <c r="BD46" i="11" s="1"/>
  <c r="BA46" i="11"/>
  <c r="AZ46" i="11"/>
  <c r="BC46" i="11" s="1"/>
  <c r="AY46" i="11"/>
  <c r="BP45" i="11"/>
  <c r="BO45" i="11"/>
  <c r="BN45" i="11"/>
  <c r="BM45" i="11"/>
  <c r="BL45" i="11"/>
  <c r="BB45" i="11"/>
  <c r="BD45" i="11" s="1"/>
  <c r="BA45" i="11"/>
  <c r="AZ45" i="11"/>
  <c r="BC45" i="11" s="1"/>
  <c r="AY45" i="11"/>
  <c r="BP44" i="11"/>
  <c r="BO44" i="11"/>
  <c r="BN44" i="11"/>
  <c r="BM44" i="11"/>
  <c r="BL44" i="11"/>
  <c r="BB44" i="11"/>
  <c r="BD44" i="11" s="1"/>
  <c r="BA44" i="11"/>
  <c r="AZ44" i="11"/>
  <c r="BC44" i="11" s="1"/>
  <c r="AY44" i="11"/>
  <c r="BP43" i="11"/>
  <c r="BO43" i="11"/>
  <c r="BN43" i="11"/>
  <c r="BM43" i="11"/>
  <c r="BL43" i="11"/>
  <c r="BB43" i="11"/>
  <c r="BD43" i="11" s="1"/>
  <c r="BA43" i="11"/>
  <c r="AZ43" i="11"/>
  <c r="BC43" i="11" s="1"/>
  <c r="AY43" i="11"/>
  <c r="BP42" i="11"/>
  <c r="BO42" i="11"/>
  <c r="BN42" i="11"/>
  <c r="BM42" i="11"/>
  <c r="BL42" i="11"/>
  <c r="BB42" i="11"/>
  <c r="BD42" i="11" s="1"/>
  <c r="BA42" i="11"/>
  <c r="AZ42" i="11"/>
  <c r="BC42" i="11" s="1"/>
  <c r="AY42" i="11"/>
  <c r="BP41" i="11"/>
  <c r="BO41" i="11"/>
  <c r="BN41" i="11"/>
  <c r="BM41" i="11"/>
  <c r="BL41" i="11"/>
  <c r="BB41" i="11"/>
  <c r="BD41" i="11" s="1"/>
  <c r="BA41" i="11"/>
  <c r="AZ41" i="11"/>
  <c r="BC41" i="11" s="1"/>
  <c r="AY41" i="11"/>
  <c r="BP40" i="11"/>
  <c r="BO40" i="11"/>
  <c r="BN40" i="11"/>
  <c r="BM40" i="11"/>
  <c r="BL40" i="11"/>
  <c r="BB40" i="11"/>
  <c r="BD40" i="11" s="1"/>
  <c r="BA40" i="11"/>
  <c r="AZ40" i="11"/>
  <c r="BC40" i="11" s="1"/>
  <c r="AY40" i="11"/>
  <c r="BP39" i="11"/>
  <c r="BO39" i="11"/>
  <c r="BN39" i="11"/>
  <c r="BM39" i="11"/>
  <c r="BL39" i="11"/>
  <c r="BB39" i="11"/>
  <c r="BD39" i="11" s="1"/>
  <c r="BA39" i="11"/>
  <c r="AZ39" i="11"/>
  <c r="AY39" i="11"/>
  <c r="BP38" i="11"/>
  <c r="BO38" i="11"/>
  <c r="BN38" i="11"/>
  <c r="BM38" i="11"/>
  <c r="BL38" i="11"/>
  <c r="BB38" i="11"/>
  <c r="BD38" i="11" s="1"/>
  <c r="BA38" i="11"/>
  <c r="AZ38" i="11"/>
  <c r="AY38" i="11"/>
  <c r="BP37" i="11"/>
  <c r="BO37" i="11"/>
  <c r="BN37" i="11"/>
  <c r="BM37" i="11"/>
  <c r="BL37" i="11"/>
  <c r="BQ37" i="11" s="1"/>
  <c r="AO37" i="11" s="1"/>
  <c r="BB37" i="11"/>
  <c r="BD37" i="11" s="1"/>
  <c r="BA37" i="11"/>
  <c r="AZ37" i="11"/>
  <c r="AY37" i="11"/>
  <c r="BP36" i="11"/>
  <c r="BO36" i="11"/>
  <c r="BN36" i="11"/>
  <c r="BM36" i="11"/>
  <c r="BL36" i="11"/>
  <c r="BQ36" i="11" s="1"/>
  <c r="AO36" i="11" s="1"/>
  <c r="BB36" i="11"/>
  <c r="BD36" i="11" s="1"/>
  <c r="BA36" i="11"/>
  <c r="AZ36" i="11"/>
  <c r="AY36" i="11"/>
  <c r="BP35" i="11"/>
  <c r="BO35" i="11"/>
  <c r="BN35" i="11"/>
  <c r="BM35" i="11"/>
  <c r="BL35" i="11"/>
  <c r="BB35" i="11"/>
  <c r="BD35" i="11" s="1"/>
  <c r="BA35" i="11"/>
  <c r="AZ35" i="11"/>
  <c r="AY35" i="11"/>
  <c r="BP34" i="11"/>
  <c r="BO34" i="11"/>
  <c r="BN34" i="11"/>
  <c r="BM34" i="11"/>
  <c r="BL34" i="11"/>
  <c r="BB34" i="11"/>
  <c r="BD34" i="11" s="1"/>
  <c r="BA34" i="11"/>
  <c r="AZ34" i="11"/>
  <c r="AY34" i="11"/>
  <c r="BP33" i="11"/>
  <c r="BO33" i="11"/>
  <c r="BN33" i="11"/>
  <c r="BM33" i="11"/>
  <c r="BL33" i="11"/>
  <c r="BQ33" i="11" s="1"/>
  <c r="AO33" i="11" s="1"/>
  <c r="BB33" i="11"/>
  <c r="BD33" i="11" s="1"/>
  <c r="BA33" i="11"/>
  <c r="AZ33" i="11"/>
  <c r="AY33" i="11"/>
  <c r="BP32" i="11"/>
  <c r="BO32" i="11"/>
  <c r="BN32" i="11"/>
  <c r="BM32" i="11"/>
  <c r="BL32" i="11"/>
  <c r="BQ32" i="11" s="1"/>
  <c r="AO32" i="11" s="1"/>
  <c r="BB32" i="11"/>
  <c r="BD32" i="11" s="1"/>
  <c r="BA32" i="11"/>
  <c r="AZ32" i="11"/>
  <c r="AY32" i="11"/>
  <c r="BP31" i="11"/>
  <c r="BO31" i="11"/>
  <c r="BN31" i="11"/>
  <c r="BM31" i="11"/>
  <c r="BL31" i="11"/>
  <c r="BB31" i="11"/>
  <c r="BD31" i="11" s="1"/>
  <c r="BA31" i="11"/>
  <c r="BC31" i="11" s="1"/>
  <c r="AZ31" i="11"/>
  <c r="AY31" i="11"/>
  <c r="BP30" i="11"/>
  <c r="BO30" i="11"/>
  <c r="BN30" i="11"/>
  <c r="BM30" i="11"/>
  <c r="BL30" i="11"/>
  <c r="BD30" i="11"/>
  <c r="BB30" i="11"/>
  <c r="BA30" i="11"/>
  <c r="AZ30" i="11"/>
  <c r="AY30" i="11"/>
  <c r="BP29" i="11"/>
  <c r="BO29" i="11"/>
  <c r="BN29" i="11"/>
  <c r="BM29" i="11"/>
  <c r="BL29" i="11"/>
  <c r="BB29" i="11"/>
  <c r="BD29" i="11" s="1"/>
  <c r="BA29" i="11"/>
  <c r="AZ29" i="11"/>
  <c r="AY29" i="11"/>
  <c r="BP28" i="11"/>
  <c r="BO28" i="11"/>
  <c r="BN28" i="11"/>
  <c r="BM28" i="11"/>
  <c r="BL28" i="11"/>
  <c r="BD28" i="11"/>
  <c r="BC28" i="11"/>
  <c r="BB28" i="11"/>
  <c r="BA28" i="11"/>
  <c r="AZ28" i="11"/>
  <c r="AY28" i="11"/>
  <c r="BP27" i="11"/>
  <c r="BO27" i="11"/>
  <c r="BN27" i="11"/>
  <c r="BM27" i="11"/>
  <c r="BL27" i="11"/>
  <c r="BB27" i="11"/>
  <c r="BD27" i="11" s="1"/>
  <c r="BA27" i="11"/>
  <c r="BC27" i="11" s="1"/>
  <c r="AZ27" i="11"/>
  <c r="AY27" i="11"/>
  <c r="BP26" i="11"/>
  <c r="BO26" i="11"/>
  <c r="BN26" i="11"/>
  <c r="BM26" i="11"/>
  <c r="BL26" i="11"/>
  <c r="BC26" i="11"/>
  <c r="BB26" i="11"/>
  <c r="BD26" i="11" s="1"/>
  <c r="BA26" i="11"/>
  <c r="AZ26" i="11"/>
  <c r="AY26" i="11"/>
  <c r="BP25" i="11"/>
  <c r="BO25" i="11"/>
  <c r="BN25" i="11"/>
  <c r="BM25" i="11"/>
  <c r="BL25" i="11"/>
  <c r="BB25" i="11"/>
  <c r="BD25" i="11" s="1"/>
  <c r="BA25" i="11"/>
  <c r="AZ25" i="11"/>
  <c r="AY25" i="11"/>
  <c r="BP24" i="11"/>
  <c r="BO24" i="11"/>
  <c r="BN24" i="11"/>
  <c r="BM24" i="11"/>
  <c r="BL24" i="11"/>
  <c r="BB24" i="11"/>
  <c r="BD24" i="11" s="1"/>
  <c r="BA24" i="11"/>
  <c r="AZ24" i="11"/>
  <c r="AY24" i="11"/>
  <c r="BP23" i="11"/>
  <c r="BO23" i="11"/>
  <c r="BN23" i="11"/>
  <c r="BM23" i="11"/>
  <c r="BL23" i="11"/>
  <c r="BB23" i="11"/>
  <c r="BD23" i="11" s="1"/>
  <c r="BA23" i="11"/>
  <c r="AZ23" i="11"/>
  <c r="BC23" i="11" s="1"/>
  <c r="AY23" i="11"/>
  <c r="BP22" i="11"/>
  <c r="BO22" i="11"/>
  <c r="BN22" i="11"/>
  <c r="BM22" i="11"/>
  <c r="BL22" i="11"/>
  <c r="BB22" i="11"/>
  <c r="BD22" i="11" s="1"/>
  <c r="BA22" i="11"/>
  <c r="AZ22" i="11"/>
  <c r="AY22" i="11"/>
  <c r="BP21" i="11"/>
  <c r="BO21" i="11"/>
  <c r="BN21" i="11"/>
  <c r="BM21" i="11"/>
  <c r="BL21" i="11"/>
  <c r="BB21" i="11"/>
  <c r="BD21" i="11" s="1"/>
  <c r="BA21" i="11"/>
  <c r="AZ21" i="11"/>
  <c r="AY21" i="11"/>
  <c r="BP20" i="11"/>
  <c r="BO20" i="11"/>
  <c r="BN20" i="11"/>
  <c r="BM20" i="11"/>
  <c r="BL20" i="11"/>
  <c r="BB20" i="11"/>
  <c r="BD20" i="11" s="1"/>
  <c r="BA20" i="11"/>
  <c r="AZ20" i="11"/>
  <c r="AY20" i="11"/>
  <c r="BP19" i="11"/>
  <c r="BO19" i="11"/>
  <c r="BN19" i="11"/>
  <c r="BM19" i="11"/>
  <c r="BL19" i="11"/>
  <c r="BB19" i="11"/>
  <c r="BD19" i="11" s="1"/>
  <c r="BA19" i="11"/>
  <c r="AZ19" i="11"/>
  <c r="AY19" i="11"/>
  <c r="AB19" i="11"/>
  <c r="AB20" i="11" s="1"/>
  <c r="AB21" i="11" s="1"/>
  <c r="AB22" i="11" s="1"/>
  <c r="AB23" i="11" s="1"/>
  <c r="AB24" i="11" s="1"/>
  <c r="AB25" i="11" s="1"/>
  <c r="AB28" i="11" s="1"/>
  <c r="AB29" i="11" s="1"/>
  <c r="AB30" i="11" s="1"/>
  <c r="AB31" i="11" s="1"/>
  <c r="AB32" i="11" s="1"/>
  <c r="AB33" i="11" s="1"/>
  <c r="AB34" i="11" s="1"/>
  <c r="AB35" i="11" s="1"/>
  <c r="AB36" i="11" s="1"/>
  <c r="AB37" i="11" s="1"/>
  <c r="AB38" i="11" s="1"/>
  <c r="AB39" i="11" s="1"/>
  <c r="AB40" i="11" s="1"/>
  <c r="AB41" i="11" s="1"/>
  <c r="AB42" i="11" s="1"/>
  <c r="AB43" i="11" s="1"/>
  <c r="BP18" i="11"/>
  <c r="BO18" i="11"/>
  <c r="BN18" i="11"/>
  <c r="BM18" i="11"/>
  <c r="BL18" i="11"/>
  <c r="BB18" i="11"/>
  <c r="BD18" i="11" s="1"/>
  <c r="BA18" i="11"/>
  <c r="AZ18" i="11"/>
  <c r="AY18" i="11"/>
  <c r="BP17" i="11"/>
  <c r="BO17" i="11"/>
  <c r="BN17" i="11"/>
  <c r="BM17" i="11"/>
  <c r="BL17" i="11"/>
  <c r="BB17" i="11"/>
  <c r="BD17" i="11" s="1"/>
  <c r="BA17" i="11"/>
  <c r="AZ17" i="11"/>
  <c r="AY17" i="11"/>
  <c r="BP16" i="11"/>
  <c r="BO16" i="11"/>
  <c r="BN16" i="11"/>
  <c r="BM16" i="11"/>
  <c r="BL16" i="11"/>
  <c r="BB16" i="11"/>
  <c r="BD16" i="11" s="1"/>
  <c r="BA16" i="11"/>
  <c r="AZ16" i="11"/>
  <c r="AY16" i="11"/>
  <c r="BP15" i="11"/>
  <c r="BO15" i="11"/>
  <c r="BN15" i="11"/>
  <c r="BM15" i="11"/>
  <c r="BL15" i="11"/>
  <c r="BB15" i="11"/>
  <c r="BD15" i="11" s="1"/>
  <c r="BA15" i="11"/>
  <c r="AZ15" i="11"/>
  <c r="AY15" i="11"/>
  <c r="BP14" i="11"/>
  <c r="BO14" i="11"/>
  <c r="BN14" i="11"/>
  <c r="BM14" i="11"/>
  <c r="BL14" i="11"/>
  <c r="BB14" i="11"/>
  <c r="BD14" i="11" s="1"/>
  <c r="BA14" i="11"/>
  <c r="AZ14" i="11"/>
  <c r="AY14" i="11"/>
  <c r="AP14" i="11"/>
  <c r="AP15" i="11" s="1"/>
  <c r="AP16" i="11" s="1"/>
  <c r="AP17" i="11" s="1"/>
  <c r="AP18" i="11" s="1"/>
  <c r="AP19" i="11" s="1"/>
  <c r="AP20" i="11" s="1"/>
  <c r="AP21" i="11" s="1"/>
  <c r="AP22" i="11" s="1"/>
  <c r="AP23" i="11" s="1"/>
  <c r="AP24" i="11" s="1"/>
  <c r="AP25" i="11" s="1"/>
  <c r="AP26" i="11" s="1"/>
  <c r="AP27" i="11" s="1"/>
  <c r="AP28" i="11" s="1"/>
  <c r="AP29" i="11" s="1"/>
  <c r="AP30" i="11" s="1"/>
  <c r="AP31" i="11" s="1"/>
  <c r="AP32" i="11" s="1"/>
  <c r="AP33" i="11" s="1"/>
  <c r="AP34" i="11" s="1"/>
  <c r="AP35" i="11" s="1"/>
  <c r="AP36" i="11" s="1"/>
  <c r="AP37" i="11" s="1"/>
  <c r="AP38" i="11" s="1"/>
  <c r="AP39" i="11" s="1"/>
  <c r="AP40" i="11" s="1"/>
  <c r="AP41" i="11" s="1"/>
  <c r="AP42" i="11" s="1"/>
  <c r="AP43" i="11" s="1"/>
  <c r="AP44" i="11" s="1"/>
  <c r="AP45" i="11" s="1"/>
  <c r="AP46" i="11" s="1"/>
  <c r="AB14" i="11"/>
  <c r="AB15" i="11" s="1"/>
  <c r="AB16" i="11" s="1"/>
  <c r="AB17" i="11" s="1"/>
  <c r="BP13" i="11"/>
  <c r="BO13" i="11"/>
  <c r="BN13" i="11"/>
  <c r="BM13" i="11"/>
  <c r="BL13" i="11"/>
  <c r="BB13" i="11"/>
  <c r="BD13" i="11" s="1"/>
  <c r="BA13" i="11"/>
  <c r="AZ13" i="11"/>
  <c r="AY13" i="11"/>
  <c r="BP11" i="11"/>
  <c r="BO11" i="11"/>
  <c r="BN11" i="11"/>
  <c r="BM11" i="11"/>
  <c r="BL11" i="11"/>
  <c r="BP10" i="11"/>
  <c r="BO10" i="11"/>
  <c r="BN10" i="11"/>
  <c r="BM10" i="11"/>
  <c r="BL10" i="11"/>
  <c r="Z8" i="11"/>
  <c r="J8" i="11"/>
  <c r="AC7" i="11"/>
  <c r="F25" i="11" s="1"/>
  <c r="G7" i="11"/>
  <c r="F10" i="11" s="1"/>
  <c r="D6" i="11"/>
  <c r="D3" i="11"/>
  <c r="BP46" i="12"/>
  <c r="BO46" i="12"/>
  <c r="BN46" i="12"/>
  <c r="BM46" i="12"/>
  <c r="BL46" i="12"/>
  <c r="BD46" i="12"/>
  <c r="BB46" i="12"/>
  <c r="BA46" i="12"/>
  <c r="AZ46" i="12"/>
  <c r="BC46" i="12" s="1"/>
  <c r="AY46" i="12"/>
  <c r="BP45" i="12"/>
  <c r="BO45" i="12"/>
  <c r="BN45" i="12"/>
  <c r="BM45" i="12"/>
  <c r="BQ45" i="12" s="1"/>
  <c r="BL45" i="12"/>
  <c r="BB45" i="12"/>
  <c r="BD45" i="12" s="1"/>
  <c r="BA45" i="12"/>
  <c r="AZ45" i="12"/>
  <c r="AY45" i="12"/>
  <c r="BP44" i="12"/>
  <c r="BO44" i="12"/>
  <c r="BN44" i="12"/>
  <c r="BM44" i="12"/>
  <c r="BL44" i="12"/>
  <c r="BB44" i="12"/>
  <c r="BD44" i="12" s="1"/>
  <c r="BA44" i="12"/>
  <c r="AZ44" i="12"/>
  <c r="AY44" i="12"/>
  <c r="BP43" i="12"/>
  <c r="BO43" i="12"/>
  <c r="BN43" i="12"/>
  <c r="BM43" i="12"/>
  <c r="BL43" i="12"/>
  <c r="BD43" i="12"/>
  <c r="BB43" i="12"/>
  <c r="BA43" i="12"/>
  <c r="AZ43" i="12"/>
  <c r="BC43" i="12" s="1"/>
  <c r="AY43" i="12"/>
  <c r="BP42" i="12"/>
  <c r="BO42" i="12"/>
  <c r="BN42" i="12"/>
  <c r="BM42" i="12"/>
  <c r="BL42" i="12"/>
  <c r="BB42" i="12"/>
  <c r="BD42" i="12" s="1"/>
  <c r="BA42" i="12"/>
  <c r="AZ42" i="12"/>
  <c r="AY42" i="12"/>
  <c r="BP41" i="12"/>
  <c r="BO41" i="12"/>
  <c r="BN41" i="12"/>
  <c r="BM41" i="12"/>
  <c r="BL41" i="12"/>
  <c r="BB41" i="12"/>
  <c r="BD41" i="12" s="1"/>
  <c r="BA41" i="12"/>
  <c r="AZ41" i="12"/>
  <c r="BC41" i="12" s="1"/>
  <c r="AY41" i="12"/>
  <c r="BP40" i="12"/>
  <c r="BO40" i="12"/>
  <c r="BN40" i="12"/>
  <c r="BM40" i="12"/>
  <c r="BL40" i="12"/>
  <c r="BB40" i="12"/>
  <c r="BD40" i="12" s="1"/>
  <c r="BA40" i="12"/>
  <c r="AZ40" i="12"/>
  <c r="AY40" i="12"/>
  <c r="BP39" i="12"/>
  <c r="BO39" i="12"/>
  <c r="BN39" i="12"/>
  <c r="BM39" i="12"/>
  <c r="BL39" i="12"/>
  <c r="BD39" i="12"/>
  <c r="BB39" i="12"/>
  <c r="BA39" i="12"/>
  <c r="AZ39" i="12"/>
  <c r="AY39" i="12"/>
  <c r="BP38" i="12"/>
  <c r="BO38" i="12"/>
  <c r="BN38" i="12"/>
  <c r="BM38" i="12"/>
  <c r="BQ38" i="12" s="1"/>
  <c r="BL38" i="12"/>
  <c r="BB38" i="12"/>
  <c r="BD38" i="12" s="1"/>
  <c r="BA38" i="12"/>
  <c r="AZ38" i="12"/>
  <c r="AY38" i="12"/>
  <c r="BP37" i="12"/>
  <c r="BO37" i="12"/>
  <c r="BN37" i="12"/>
  <c r="BM37" i="12"/>
  <c r="BL37" i="12"/>
  <c r="BD37" i="12"/>
  <c r="BB37" i="12"/>
  <c r="BA37" i="12"/>
  <c r="AZ37" i="12"/>
  <c r="AY37" i="12"/>
  <c r="BP36" i="12"/>
  <c r="BO36" i="12"/>
  <c r="BN36" i="12"/>
  <c r="BM36" i="12"/>
  <c r="BQ36" i="12" s="1"/>
  <c r="BL36" i="12"/>
  <c r="BB36" i="12"/>
  <c r="BD36" i="12" s="1"/>
  <c r="BA36" i="12"/>
  <c r="AZ36" i="12"/>
  <c r="AY36" i="12"/>
  <c r="BP35" i="12"/>
  <c r="BO35" i="12"/>
  <c r="BN35" i="12"/>
  <c r="BM35" i="12"/>
  <c r="BL35" i="12"/>
  <c r="BD35" i="12"/>
  <c r="BB35" i="12"/>
  <c r="BA35" i="12"/>
  <c r="AZ35" i="12"/>
  <c r="AY35" i="12"/>
  <c r="BP34" i="12"/>
  <c r="BO34" i="12"/>
  <c r="BN34" i="12"/>
  <c r="BM34" i="12"/>
  <c r="BQ34" i="12" s="1"/>
  <c r="BL34" i="12"/>
  <c r="BB34" i="12"/>
  <c r="BD34" i="12" s="1"/>
  <c r="BA34" i="12"/>
  <c r="AZ34" i="12"/>
  <c r="AY34" i="12"/>
  <c r="BP33" i="12"/>
  <c r="BO33" i="12"/>
  <c r="BN33" i="12"/>
  <c r="BM33" i="12"/>
  <c r="BL33" i="12"/>
  <c r="BD33" i="12"/>
  <c r="BB33" i="12"/>
  <c r="BA33" i="12"/>
  <c r="AZ33" i="12"/>
  <c r="AY33" i="12"/>
  <c r="BP32" i="12"/>
  <c r="BO32" i="12"/>
  <c r="BN32" i="12"/>
  <c r="BM32" i="12"/>
  <c r="BQ32" i="12" s="1"/>
  <c r="BL32" i="12"/>
  <c r="BB32" i="12"/>
  <c r="BD32" i="12" s="1"/>
  <c r="BA32" i="12"/>
  <c r="AZ32" i="12"/>
  <c r="AY32" i="12"/>
  <c r="BP31" i="12"/>
  <c r="BO31" i="12"/>
  <c r="BN31" i="12"/>
  <c r="BM31" i="12"/>
  <c r="BL31" i="12"/>
  <c r="BD31" i="12"/>
  <c r="BB31" i="12"/>
  <c r="BA31" i="12"/>
  <c r="AZ31" i="12"/>
  <c r="AY31" i="12"/>
  <c r="BP30" i="12"/>
  <c r="BO30" i="12"/>
  <c r="BN30" i="12"/>
  <c r="BM30" i="12"/>
  <c r="BQ30" i="12" s="1"/>
  <c r="BL30" i="12"/>
  <c r="BB30" i="12"/>
  <c r="BD30" i="12" s="1"/>
  <c r="BA30" i="12"/>
  <c r="AZ30" i="12"/>
  <c r="AY30" i="12"/>
  <c r="BP29" i="12"/>
  <c r="BO29" i="12"/>
  <c r="BN29" i="12"/>
  <c r="BM29" i="12"/>
  <c r="BL29" i="12"/>
  <c r="BD29" i="12"/>
  <c r="BB29" i="12"/>
  <c r="BA29" i="12"/>
  <c r="AZ29" i="12"/>
  <c r="AY29" i="12"/>
  <c r="BP28" i="12"/>
  <c r="BO28" i="12"/>
  <c r="BN28" i="12"/>
  <c r="BM28" i="12"/>
  <c r="BL28" i="12"/>
  <c r="BB28" i="12"/>
  <c r="BD28" i="12" s="1"/>
  <c r="BA28" i="12"/>
  <c r="AZ28" i="12"/>
  <c r="AY28" i="12"/>
  <c r="BP27" i="12"/>
  <c r="BO27" i="12"/>
  <c r="BN27" i="12"/>
  <c r="BM27" i="12"/>
  <c r="BL27" i="12"/>
  <c r="BQ27" i="12" s="1"/>
  <c r="BD27" i="12"/>
  <c r="BB27" i="12"/>
  <c r="BA27" i="12"/>
  <c r="AZ27" i="12"/>
  <c r="AY27" i="12"/>
  <c r="BP26" i="12"/>
  <c r="BO26" i="12"/>
  <c r="BN26" i="12"/>
  <c r="BM26" i="12"/>
  <c r="BL26" i="12"/>
  <c r="BC26" i="12"/>
  <c r="BB26" i="12"/>
  <c r="BD26" i="12" s="1"/>
  <c r="BA26" i="12"/>
  <c r="AZ26" i="12"/>
  <c r="AY26" i="12"/>
  <c r="BP25" i="12"/>
  <c r="BO25" i="12"/>
  <c r="BN25" i="12"/>
  <c r="BM25" i="12"/>
  <c r="BQ25" i="12" s="1"/>
  <c r="BL25" i="12"/>
  <c r="BB25" i="12"/>
  <c r="BD25" i="12" s="1"/>
  <c r="BA25" i="12"/>
  <c r="BC25" i="12" s="1"/>
  <c r="AZ25" i="12"/>
  <c r="AY25" i="12"/>
  <c r="BP24" i="12"/>
  <c r="BO24" i="12"/>
  <c r="BN24" i="12"/>
  <c r="BM24" i="12"/>
  <c r="BL24" i="12"/>
  <c r="BB24" i="12"/>
  <c r="BD24" i="12" s="1"/>
  <c r="BA24" i="12"/>
  <c r="AZ24" i="12"/>
  <c r="AY24" i="12"/>
  <c r="BP23" i="12"/>
  <c r="BO23" i="12"/>
  <c r="BN23" i="12"/>
  <c r="BM23" i="12"/>
  <c r="BL23" i="12"/>
  <c r="BB23" i="12"/>
  <c r="BD23" i="12" s="1"/>
  <c r="BA23" i="12"/>
  <c r="AZ23" i="12"/>
  <c r="AY23" i="12"/>
  <c r="BP22" i="12"/>
  <c r="BO22" i="12"/>
  <c r="BN22" i="12"/>
  <c r="BM22" i="12"/>
  <c r="BL22" i="12"/>
  <c r="BB22" i="12"/>
  <c r="BD22" i="12" s="1"/>
  <c r="BA22" i="12"/>
  <c r="AZ22" i="12"/>
  <c r="AY22" i="12"/>
  <c r="BP21" i="12"/>
  <c r="BO21" i="12"/>
  <c r="BN21" i="12"/>
  <c r="BM21" i="12"/>
  <c r="BL21" i="12"/>
  <c r="BB21" i="12"/>
  <c r="BD21" i="12" s="1"/>
  <c r="BA21" i="12"/>
  <c r="AZ21" i="12"/>
  <c r="AY21" i="12"/>
  <c r="BP20" i="12"/>
  <c r="BO20" i="12"/>
  <c r="BN20" i="12"/>
  <c r="BM20" i="12"/>
  <c r="BL20" i="12"/>
  <c r="BB20" i="12"/>
  <c r="BD20" i="12" s="1"/>
  <c r="BA20" i="12"/>
  <c r="AZ20" i="12"/>
  <c r="AY20" i="12"/>
  <c r="BP19" i="12"/>
  <c r="BO19" i="12"/>
  <c r="BN19" i="12"/>
  <c r="BM19" i="12"/>
  <c r="BL19" i="12"/>
  <c r="BB19" i="12"/>
  <c r="BD19" i="12" s="1"/>
  <c r="BA19" i="12"/>
  <c r="AZ19" i="12"/>
  <c r="AY19" i="12"/>
  <c r="AB19" i="12"/>
  <c r="AB20" i="12" s="1"/>
  <c r="AB21" i="12" s="1"/>
  <c r="AB22" i="12" s="1"/>
  <c r="AB23" i="12" s="1"/>
  <c r="AB24" i="12" s="1"/>
  <c r="AB25" i="12" s="1"/>
  <c r="AB28" i="12" s="1"/>
  <c r="AB29" i="12" s="1"/>
  <c r="AB30" i="12" s="1"/>
  <c r="AB31" i="12" s="1"/>
  <c r="AB32" i="12" s="1"/>
  <c r="AB33" i="12" s="1"/>
  <c r="AB34" i="12" s="1"/>
  <c r="AB35" i="12" s="1"/>
  <c r="AB36" i="12" s="1"/>
  <c r="AB37" i="12" s="1"/>
  <c r="AB38" i="12" s="1"/>
  <c r="AB39" i="12" s="1"/>
  <c r="AB40" i="12" s="1"/>
  <c r="AB41" i="12" s="1"/>
  <c r="AB42" i="12" s="1"/>
  <c r="AB43" i="12" s="1"/>
  <c r="BP18" i="12"/>
  <c r="BO18" i="12"/>
  <c r="BN18" i="12"/>
  <c r="BM18" i="12"/>
  <c r="BL18" i="12"/>
  <c r="BB18" i="12"/>
  <c r="BD18" i="12" s="1"/>
  <c r="BA18" i="12"/>
  <c r="AZ18" i="12"/>
  <c r="AY18" i="12"/>
  <c r="BP17" i="12"/>
  <c r="BO17" i="12"/>
  <c r="BN17" i="12"/>
  <c r="BM17" i="12"/>
  <c r="BL17" i="12"/>
  <c r="BB17" i="12"/>
  <c r="BD17" i="12" s="1"/>
  <c r="BA17" i="12"/>
  <c r="AZ17" i="12"/>
  <c r="AY17" i="12"/>
  <c r="BP16" i="12"/>
  <c r="BO16" i="12"/>
  <c r="BN16" i="12"/>
  <c r="BM16" i="12"/>
  <c r="BL16" i="12"/>
  <c r="BB16" i="12"/>
  <c r="BD16" i="12" s="1"/>
  <c r="BA16" i="12"/>
  <c r="AZ16" i="12"/>
  <c r="AY16" i="12"/>
  <c r="BP15" i="12"/>
  <c r="BO15" i="12"/>
  <c r="BN15" i="12"/>
  <c r="BM15" i="12"/>
  <c r="BL15" i="12"/>
  <c r="BB15" i="12"/>
  <c r="BD15" i="12" s="1"/>
  <c r="BA15" i="12"/>
  <c r="AZ15" i="12"/>
  <c r="AY15" i="12"/>
  <c r="BP14" i="12"/>
  <c r="BO14" i="12"/>
  <c r="BN14" i="12"/>
  <c r="BM14" i="12"/>
  <c r="BL14" i="12"/>
  <c r="BB14" i="12"/>
  <c r="BD14" i="12" s="1"/>
  <c r="BA14" i="12"/>
  <c r="AZ14" i="12"/>
  <c r="AY14" i="12"/>
  <c r="AP14" i="12"/>
  <c r="AP15" i="12" s="1"/>
  <c r="AP16" i="12" s="1"/>
  <c r="AP17" i="12" s="1"/>
  <c r="AP18" i="12" s="1"/>
  <c r="AP19" i="12" s="1"/>
  <c r="AP20" i="12" s="1"/>
  <c r="AP21" i="12" s="1"/>
  <c r="AP22" i="12" s="1"/>
  <c r="AP23" i="12" s="1"/>
  <c r="AP24" i="12" s="1"/>
  <c r="AP25" i="12" s="1"/>
  <c r="AP26" i="12" s="1"/>
  <c r="AP27" i="12" s="1"/>
  <c r="AP28" i="12" s="1"/>
  <c r="AP29" i="12" s="1"/>
  <c r="AP30" i="12" s="1"/>
  <c r="AP31" i="12" s="1"/>
  <c r="AP32" i="12" s="1"/>
  <c r="AP33" i="12" s="1"/>
  <c r="AP34" i="12" s="1"/>
  <c r="AP35" i="12" s="1"/>
  <c r="AP36" i="12" s="1"/>
  <c r="AP37" i="12" s="1"/>
  <c r="AP38" i="12" s="1"/>
  <c r="AP39" i="12" s="1"/>
  <c r="AP40" i="12" s="1"/>
  <c r="AP41" i="12" s="1"/>
  <c r="AP42" i="12" s="1"/>
  <c r="AP43" i="12" s="1"/>
  <c r="AP44" i="12" s="1"/>
  <c r="AP45" i="12" s="1"/>
  <c r="AP46" i="12" s="1"/>
  <c r="AB14" i="12"/>
  <c r="AB15" i="12" s="1"/>
  <c r="AB16" i="12" s="1"/>
  <c r="AB17" i="12" s="1"/>
  <c r="BP13" i="12"/>
  <c r="BO13" i="12"/>
  <c r="BN13" i="12"/>
  <c r="BM13" i="12"/>
  <c r="BL13" i="12"/>
  <c r="BB13" i="12"/>
  <c r="BD13" i="12" s="1"/>
  <c r="BA13" i="12"/>
  <c r="AZ13" i="12"/>
  <c r="AY13" i="12"/>
  <c r="BP11" i="12"/>
  <c r="BO11" i="12"/>
  <c r="BN11" i="12"/>
  <c r="BM11" i="12"/>
  <c r="BL11" i="12"/>
  <c r="BP10" i="12"/>
  <c r="BO10" i="12"/>
  <c r="BN10" i="12"/>
  <c r="BM10" i="12"/>
  <c r="BL10" i="12"/>
  <c r="Z8" i="12"/>
  <c r="J8" i="12"/>
  <c r="AC7" i="12"/>
  <c r="F25" i="12" s="1"/>
  <c r="G7" i="12"/>
  <c r="F10" i="12" s="1"/>
  <c r="D6" i="12"/>
  <c r="D3" i="12"/>
  <c r="BP46" i="13"/>
  <c r="BO46" i="13"/>
  <c r="BN46" i="13"/>
  <c r="BM46" i="13"/>
  <c r="BL46" i="13"/>
  <c r="BB46" i="13"/>
  <c r="BD46" i="13" s="1"/>
  <c r="BA46" i="13"/>
  <c r="BC46" i="13" s="1"/>
  <c r="AZ46" i="13"/>
  <c r="AY46" i="13"/>
  <c r="BP45" i="13"/>
  <c r="BO45" i="13"/>
  <c r="BN45" i="13"/>
  <c r="BM45" i="13"/>
  <c r="BL45" i="13"/>
  <c r="BB45" i="13"/>
  <c r="BD45" i="13" s="1"/>
  <c r="BA45" i="13"/>
  <c r="AZ45" i="13"/>
  <c r="BC45" i="13" s="1"/>
  <c r="AY45" i="13"/>
  <c r="BP44" i="13"/>
  <c r="BO44" i="13"/>
  <c r="BN44" i="13"/>
  <c r="BM44" i="13"/>
  <c r="BL44" i="13"/>
  <c r="BB44" i="13"/>
  <c r="BD44" i="13" s="1"/>
  <c r="BA44" i="13"/>
  <c r="BC44" i="13" s="1"/>
  <c r="AZ44" i="13"/>
  <c r="AY44" i="13"/>
  <c r="BP43" i="13"/>
  <c r="BO43" i="13"/>
  <c r="BN43" i="13"/>
  <c r="BM43" i="13"/>
  <c r="BL43" i="13"/>
  <c r="BD43" i="13"/>
  <c r="BB43" i="13"/>
  <c r="BA43" i="13"/>
  <c r="AZ43" i="13"/>
  <c r="AY43" i="13"/>
  <c r="BP42" i="13"/>
  <c r="BO42" i="13"/>
  <c r="BN42" i="13"/>
  <c r="BM42" i="13"/>
  <c r="BL42" i="13"/>
  <c r="BD42" i="13"/>
  <c r="BB42" i="13"/>
  <c r="BA42" i="13"/>
  <c r="AZ42" i="13"/>
  <c r="BC42" i="13" s="1"/>
  <c r="AY42" i="13"/>
  <c r="BP41" i="13"/>
  <c r="BO41" i="13"/>
  <c r="BN41" i="13"/>
  <c r="BM41" i="13"/>
  <c r="BL41" i="13"/>
  <c r="BC41" i="13"/>
  <c r="BB41" i="13"/>
  <c r="BD41" i="13" s="1"/>
  <c r="BA41" i="13"/>
  <c r="AZ41" i="13"/>
  <c r="AY41" i="13"/>
  <c r="BP40" i="13"/>
  <c r="BO40" i="13"/>
  <c r="BN40" i="13"/>
  <c r="BM40" i="13"/>
  <c r="BQ40" i="13" s="1"/>
  <c r="BL40" i="13"/>
  <c r="BB40" i="13"/>
  <c r="BD40" i="13" s="1"/>
  <c r="BA40" i="13"/>
  <c r="BC40" i="13" s="1"/>
  <c r="AZ40" i="13"/>
  <c r="AY40" i="13"/>
  <c r="BP39" i="13"/>
  <c r="BO39" i="13"/>
  <c r="BN39" i="13"/>
  <c r="BM39" i="13"/>
  <c r="BL39" i="13"/>
  <c r="BQ39" i="13" s="1"/>
  <c r="BB39" i="13"/>
  <c r="BD39" i="13" s="1"/>
  <c r="BA39" i="13"/>
  <c r="AZ39" i="13"/>
  <c r="BC39" i="13" s="1"/>
  <c r="AY39" i="13"/>
  <c r="BP38" i="13"/>
  <c r="BO38" i="13"/>
  <c r="BN38" i="13"/>
  <c r="BM38" i="13"/>
  <c r="BL38" i="13"/>
  <c r="BB38" i="13"/>
  <c r="BD38" i="13" s="1"/>
  <c r="BA38" i="13"/>
  <c r="AZ38" i="13"/>
  <c r="AY38" i="13"/>
  <c r="BP37" i="13"/>
  <c r="BO37" i="13"/>
  <c r="BN37" i="13"/>
  <c r="BM37" i="13"/>
  <c r="BL37" i="13"/>
  <c r="BB37" i="13"/>
  <c r="BD37" i="13" s="1"/>
  <c r="BA37" i="13"/>
  <c r="BC37" i="13" s="1"/>
  <c r="AZ37" i="13"/>
  <c r="AY37" i="13"/>
  <c r="BP36" i="13"/>
  <c r="BO36" i="13"/>
  <c r="BN36" i="13"/>
  <c r="BM36" i="13"/>
  <c r="BL36" i="13"/>
  <c r="BB36" i="13"/>
  <c r="BD36" i="13" s="1"/>
  <c r="BA36" i="13"/>
  <c r="BC36" i="13" s="1"/>
  <c r="AZ36" i="13"/>
  <c r="AY36" i="13"/>
  <c r="BP35" i="13"/>
  <c r="BO35" i="13"/>
  <c r="BN35" i="13"/>
  <c r="BM35" i="13"/>
  <c r="BL35" i="13"/>
  <c r="BQ35" i="13" s="1"/>
  <c r="BB35" i="13"/>
  <c r="BD35" i="13" s="1"/>
  <c r="BA35" i="13"/>
  <c r="AZ35" i="13"/>
  <c r="AY35" i="13"/>
  <c r="BP34" i="13"/>
  <c r="BO34" i="13"/>
  <c r="BN34" i="13"/>
  <c r="BM34" i="13"/>
  <c r="BL34" i="13"/>
  <c r="BB34" i="13"/>
  <c r="BD34" i="13" s="1"/>
  <c r="BA34" i="13"/>
  <c r="AZ34" i="13"/>
  <c r="AY34" i="13"/>
  <c r="BP33" i="13"/>
  <c r="BO33" i="13"/>
  <c r="BN33" i="13"/>
  <c r="BM33" i="13"/>
  <c r="BL33" i="13"/>
  <c r="BB33" i="13"/>
  <c r="BD33" i="13" s="1"/>
  <c r="BA33" i="13"/>
  <c r="BC33" i="13" s="1"/>
  <c r="AZ33" i="13"/>
  <c r="AY33" i="13"/>
  <c r="BP32" i="13"/>
  <c r="BO32" i="13"/>
  <c r="BN32" i="13"/>
  <c r="BM32" i="13"/>
  <c r="BL32" i="13"/>
  <c r="BB32" i="13"/>
  <c r="BD32" i="13" s="1"/>
  <c r="BA32" i="13"/>
  <c r="BC32" i="13" s="1"/>
  <c r="AZ32" i="13"/>
  <c r="AY32" i="13"/>
  <c r="BP31" i="13"/>
  <c r="BO31" i="13"/>
  <c r="BN31" i="13"/>
  <c r="BM31" i="13"/>
  <c r="BL31" i="13"/>
  <c r="BQ31" i="13" s="1"/>
  <c r="BB31" i="13"/>
  <c r="BD31" i="13" s="1"/>
  <c r="BA31" i="13"/>
  <c r="AZ31" i="13"/>
  <c r="AY31" i="13"/>
  <c r="BP30" i="13"/>
  <c r="BO30" i="13"/>
  <c r="BN30" i="13"/>
  <c r="BM30" i="13"/>
  <c r="BL30" i="13"/>
  <c r="BB30" i="13"/>
  <c r="BD30" i="13" s="1"/>
  <c r="BA30" i="13"/>
  <c r="AZ30" i="13"/>
  <c r="AY30" i="13"/>
  <c r="BP29" i="13"/>
  <c r="BO29" i="13"/>
  <c r="BN29" i="13"/>
  <c r="BM29" i="13"/>
  <c r="BL29" i="13"/>
  <c r="BB29" i="13"/>
  <c r="BD29" i="13" s="1"/>
  <c r="BA29" i="13"/>
  <c r="BC29" i="13" s="1"/>
  <c r="AZ29" i="13"/>
  <c r="AY29" i="13"/>
  <c r="BP28" i="13"/>
  <c r="BO28" i="13"/>
  <c r="BN28" i="13"/>
  <c r="BM28" i="13"/>
  <c r="BL28" i="13"/>
  <c r="BB28" i="13"/>
  <c r="BD28" i="13" s="1"/>
  <c r="BA28" i="13"/>
  <c r="BC28" i="13" s="1"/>
  <c r="AZ28" i="13"/>
  <c r="AY28" i="13"/>
  <c r="BP27" i="13"/>
  <c r="BO27" i="13"/>
  <c r="BN27" i="13"/>
  <c r="BM27" i="13"/>
  <c r="BL27" i="13"/>
  <c r="BB27" i="13"/>
  <c r="BD27" i="13" s="1"/>
  <c r="BA27" i="13"/>
  <c r="AZ27" i="13"/>
  <c r="AY27" i="13"/>
  <c r="BP26" i="13"/>
  <c r="BO26" i="13"/>
  <c r="BN26" i="13"/>
  <c r="BM26" i="13"/>
  <c r="BL26" i="13"/>
  <c r="BB26" i="13"/>
  <c r="BD26" i="13" s="1"/>
  <c r="BA26" i="13"/>
  <c r="AZ26" i="13"/>
  <c r="AY26" i="13"/>
  <c r="BP25" i="13"/>
  <c r="BO25" i="13"/>
  <c r="BN25" i="13"/>
  <c r="BM25" i="13"/>
  <c r="BL25" i="13"/>
  <c r="BB25" i="13"/>
  <c r="BD25" i="13" s="1"/>
  <c r="BA25" i="13"/>
  <c r="AZ25" i="13"/>
  <c r="BC25" i="13" s="1"/>
  <c r="AY25" i="13"/>
  <c r="BP24" i="13"/>
  <c r="BO24" i="13"/>
  <c r="BN24" i="13"/>
  <c r="BM24" i="13"/>
  <c r="BL24" i="13"/>
  <c r="BB24" i="13"/>
  <c r="BD24" i="13" s="1"/>
  <c r="BA24" i="13"/>
  <c r="AZ24" i="13"/>
  <c r="AY24" i="13"/>
  <c r="BP23" i="13"/>
  <c r="BO23" i="13"/>
  <c r="BN23" i="13"/>
  <c r="BM23" i="13"/>
  <c r="BL23" i="13"/>
  <c r="BB23" i="13"/>
  <c r="BD23" i="13" s="1"/>
  <c r="BA23" i="13"/>
  <c r="AZ23" i="13"/>
  <c r="BC23" i="13" s="1"/>
  <c r="AY23" i="13"/>
  <c r="BP22" i="13"/>
  <c r="BO22" i="13"/>
  <c r="BN22" i="13"/>
  <c r="BM22" i="13"/>
  <c r="BL22" i="13"/>
  <c r="BB22" i="13"/>
  <c r="BD22" i="13" s="1"/>
  <c r="BA22" i="13"/>
  <c r="AZ22" i="13"/>
  <c r="AY22" i="13"/>
  <c r="BP21" i="13"/>
  <c r="BO21" i="13"/>
  <c r="BN21" i="13"/>
  <c r="BM21" i="13"/>
  <c r="BL21" i="13"/>
  <c r="BB21" i="13"/>
  <c r="BD21" i="13" s="1"/>
  <c r="BA21" i="13"/>
  <c r="AZ21" i="13"/>
  <c r="AY21" i="13"/>
  <c r="BP20" i="13"/>
  <c r="BO20" i="13"/>
  <c r="BN20" i="13"/>
  <c r="BM20" i="13"/>
  <c r="BL20" i="13"/>
  <c r="BB20" i="13"/>
  <c r="BD20" i="13" s="1"/>
  <c r="BA20" i="13"/>
  <c r="AZ20" i="13"/>
  <c r="AY20" i="13"/>
  <c r="BP19" i="13"/>
  <c r="BO19" i="13"/>
  <c r="BN19" i="13"/>
  <c r="BM19" i="13"/>
  <c r="BL19" i="13"/>
  <c r="BB19" i="13"/>
  <c r="BD19" i="13" s="1"/>
  <c r="BA19" i="13"/>
  <c r="AZ19" i="13"/>
  <c r="AY19" i="13"/>
  <c r="AB19" i="13"/>
  <c r="AB20" i="13" s="1"/>
  <c r="AB21" i="13" s="1"/>
  <c r="AB22" i="13" s="1"/>
  <c r="AB23" i="13" s="1"/>
  <c r="AB24" i="13" s="1"/>
  <c r="AB25" i="13" s="1"/>
  <c r="AB28" i="13" s="1"/>
  <c r="AB29" i="13" s="1"/>
  <c r="AB30" i="13" s="1"/>
  <c r="AB31" i="13" s="1"/>
  <c r="AB32" i="13" s="1"/>
  <c r="AB33" i="13" s="1"/>
  <c r="AB34" i="13" s="1"/>
  <c r="AB35" i="13" s="1"/>
  <c r="AB36" i="13" s="1"/>
  <c r="AB37" i="13" s="1"/>
  <c r="AB38" i="13" s="1"/>
  <c r="AB39" i="13" s="1"/>
  <c r="AB40" i="13" s="1"/>
  <c r="AB41" i="13" s="1"/>
  <c r="AB42" i="13" s="1"/>
  <c r="AB43" i="13" s="1"/>
  <c r="BP18" i="13"/>
  <c r="BO18" i="13"/>
  <c r="BN18" i="13"/>
  <c r="BM18" i="13"/>
  <c r="BL18" i="13"/>
  <c r="BB18" i="13"/>
  <c r="BD18" i="13" s="1"/>
  <c r="BA18" i="13"/>
  <c r="AZ18" i="13"/>
  <c r="AY18" i="13"/>
  <c r="BP17" i="13"/>
  <c r="BO17" i="13"/>
  <c r="BN17" i="13"/>
  <c r="BM17" i="13"/>
  <c r="BL17" i="13"/>
  <c r="BQ17" i="13" s="1"/>
  <c r="BB17" i="13"/>
  <c r="BD17" i="13" s="1"/>
  <c r="BA17" i="13"/>
  <c r="AZ17" i="13"/>
  <c r="AY17" i="13"/>
  <c r="BP16" i="13"/>
  <c r="BO16" i="13"/>
  <c r="BN16" i="13"/>
  <c r="BM16" i="13"/>
  <c r="BL16" i="13"/>
  <c r="BB16" i="13"/>
  <c r="BD16" i="13" s="1"/>
  <c r="BA16" i="13"/>
  <c r="AZ16" i="13"/>
  <c r="AY16" i="13"/>
  <c r="BP15" i="13"/>
  <c r="BO15" i="13"/>
  <c r="BN15" i="13"/>
  <c r="BM15" i="13"/>
  <c r="BL15" i="13"/>
  <c r="BB15" i="13"/>
  <c r="BD15" i="13" s="1"/>
  <c r="BA15" i="13"/>
  <c r="AZ15" i="13"/>
  <c r="AY15" i="13"/>
  <c r="BP14" i="13"/>
  <c r="BO14" i="13"/>
  <c r="BN14" i="13"/>
  <c r="BM14" i="13"/>
  <c r="BL14" i="13"/>
  <c r="BB14" i="13"/>
  <c r="BD14" i="13" s="1"/>
  <c r="BA14" i="13"/>
  <c r="AZ14" i="13"/>
  <c r="AY14" i="13"/>
  <c r="AP14" i="13"/>
  <c r="AP15" i="13" s="1"/>
  <c r="AP16" i="13" s="1"/>
  <c r="AP17" i="13" s="1"/>
  <c r="AP18" i="13" s="1"/>
  <c r="AP19" i="13" s="1"/>
  <c r="AP20" i="13" s="1"/>
  <c r="AP21" i="13" s="1"/>
  <c r="AP22" i="13" s="1"/>
  <c r="AP23" i="13" s="1"/>
  <c r="AP24" i="13" s="1"/>
  <c r="AP25" i="13" s="1"/>
  <c r="AP26" i="13" s="1"/>
  <c r="AP27" i="13" s="1"/>
  <c r="AP28" i="13" s="1"/>
  <c r="AP29" i="13" s="1"/>
  <c r="AP30" i="13" s="1"/>
  <c r="AP31" i="13" s="1"/>
  <c r="AP32" i="13" s="1"/>
  <c r="AP33" i="13" s="1"/>
  <c r="AP34" i="13" s="1"/>
  <c r="AP35" i="13" s="1"/>
  <c r="AP36" i="13" s="1"/>
  <c r="AP37" i="13" s="1"/>
  <c r="AP38" i="13" s="1"/>
  <c r="AP39" i="13" s="1"/>
  <c r="AP40" i="13" s="1"/>
  <c r="AP41" i="13" s="1"/>
  <c r="AP42" i="13" s="1"/>
  <c r="AP43" i="13" s="1"/>
  <c r="AP44" i="13" s="1"/>
  <c r="AP45" i="13" s="1"/>
  <c r="AP46" i="13" s="1"/>
  <c r="AB14" i="13"/>
  <c r="AB15" i="13" s="1"/>
  <c r="AB16" i="13" s="1"/>
  <c r="AB17" i="13" s="1"/>
  <c r="BP13" i="13"/>
  <c r="BO13" i="13"/>
  <c r="BN13" i="13"/>
  <c r="BM13" i="13"/>
  <c r="BL13" i="13"/>
  <c r="BB13" i="13"/>
  <c r="BD13" i="13" s="1"/>
  <c r="BA13" i="13"/>
  <c r="AZ13" i="13"/>
  <c r="AY13" i="13"/>
  <c r="BP11" i="13"/>
  <c r="BO11" i="13"/>
  <c r="BN11" i="13"/>
  <c r="BM11" i="13"/>
  <c r="BL11" i="13"/>
  <c r="BP10" i="13"/>
  <c r="BO10" i="13"/>
  <c r="BN10" i="13"/>
  <c r="BM10" i="13"/>
  <c r="BL10" i="13"/>
  <c r="Z8" i="13"/>
  <c r="J8" i="13"/>
  <c r="AC7" i="13"/>
  <c r="F25" i="13" s="1"/>
  <c r="G7" i="13"/>
  <c r="F10" i="13" s="1"/>
  <c r="D6" i="13"/>
  <c r="D3" i="13"/>
  <c r="BP46" i="14"/>
  <c r="BO46" i="14"/>
  <c r="BN46" i="14"/>
  <c r="BM46" i="14"/>
  <c r="BQ46" i="14" s="1"/>
  <c r="BL46" i="14"/>
  <c r="BB46" i="14"/>
  <c r="BD46" i="14" s="1"/>
  <c r="BA46" i="14"/>
  <c r="AZ46" i="14"/>
  <c r="BC46" i="14" s="1"/>
  <c r="AY46" i="14"/>
  <c r="BP45" i="14"/>
  <c r="BO45" i="14"/>
  <c r="BN45" i="14"/>
  <c r="BM45" i="14"/>
  <c r="BL45" i="14"/>
  <c r="BC45" i="14"/>
  <c r="BB45" i="14"/>
  <c r="BD45" i="14" s="1"/>
  <c r="BA45" i="14"/>
  <c r="AZ45" i="14"/>
  <c r="AY45" i="14"/>
  <c r="BP44" i="14"/>
  <c r="BO44" i="14"/>
  <c r="BN44" i="14"/>
  <c r="BM44" i="14"/>
  <c r="BQ44" i="14" s="1"/>
  <c r="BL44" i="14"/>
  <c r="BB44" i="14"/>
  <c r="BD44" i="14" s="1"/>
  <c r="BA44" i="14"/>
  <c r="AZ44" i="14"/>
  <c r="AY44" i="14"/>
  <c r="BP43" i="14"/>
  <c r="BO43" i="14"/>
  <c r="BN43" i="14"/>
  <c r="BM43" i="14"/>
  <c r="BL43" i="14"/>
  <c r="BC43" i="14"/>
  <c r="BB43" i="14"/>
  <c r="BD43" i="14" s="1"/>
  <c r="BA43" i="14"/>
  <c r="AZ43" i="14"/>
  <c r="AY43" i="14"/>
  <c r="BP42" i="14"/>
  <c r="BO42" i="14"/>
  <c r="BN42" i="14"/>
  <c r="BM42" i="14"/>
  <c r="BQ42" i="14" s="1"/>
  <c r="BL42" i="14"/>
  <c r="BB42" i="14"/>
  <c r="BD42" i="14" s="1"/>
  <c r="BA42" i="14"/>
  <c r="AZ42" i="14"/>
  <c r="BC42" i="14" s="1"/>
  <c r="AY42" i="14"/>
  <c r="BP41" i="14"/>
  <c r="BO41" i="14"/>
  <c r="BN41" i="14"/>
  <c r="BM41" i="14"/>
  <c r="BL41" i="14"/>
  <c r="BC41" i="14"/>
  <c r="BB41" i="14"/>
  <c r="BD41" i="14" s="1"/>
  <c r="BA41" i="14"/>
  <c r="AZ41" i="14"/>
  <c r="AY41" i="14"/>
  <c r="BP40" i="14"/>
  <c r="BO40" i="14"/>
  <c r="BN40" i="14"/>
  <c r="BM40" i="14"/>
  <c r="BQ40" i="14" s="1"/>
  <c r="BL40" i="14"/>
  <c r="BB40" i="14"/>
  <c r="BD40" i="14" s="1"/>
  <c r="BA40" i="14"/>
  <c r="AZ40" i="14"/>
  <c r="AY40" i="14"/>
  <c r="BP39" i="14"/>
  <c r="BO39" i="14"/>
  <c r="BN39" i="14"/>
  <c r="BM39" i="14"/>
  <c r="BL39" i="14"/>
  <c r="BD39" i="14"/>
  <c r="BB39" i="14"/>
  <c r="BA39" i="14"/>
  <c r="AZ39" i="14"/>
  <c r="BC39" i="14" s="1"/>
  <c r="AY39" i="14"/>
  <c r="BP38" i="14"/>
  <c r="BO38" i="14"/>
  <c r="BN38" i="14"/>
  <c r="BM38" i="14"/>
  <c r="BL38" i="14"/>
  <c r="BB38" i="14"/>
  <c r="BD38" i="14" s="1"/>
  <c r="BA38" i="14"/>
  <c r="AZ38" i="14"/>
  <c r="AY38" i="14"/>
  <c r="BP37" i="14"/>
  <c r="BO37" i="14"/>
  <c r="BN37" i="14"/>
  <c r="BM37" i="14"/>
  <c r="BL37" i="14"/>
  <c r="BD37" i="14"/>
  <c r="BB37" i="14"/>
  <c r="BA37" i="14"/>
  <c r="AZ37" i="14"/>
  <c r="BC37" i="14" s="1"/>
  <c r="AY37" i="14"/>
  <c r="BP36" i="14"/>
  <c r="BO36" i="14"/>
  <c r="BN36" i="14"/>
  <c r="BM36" i="14"/>
  <c r="BL36" i="14"/>
  <c r="BB36" i="14"/>
  <c r="BD36" i="14" s="1"/>
  <c r="BA36" i="14"/>
  <c r="AZ36" i="14"/>
  <c r="AY36" i="14"/>
  <c r="BP35" i="14"/>
  <c r="BO35" i="14"/>
  <c r="BN35" i="14"/>
  <c r="BM35" i="14"/>
  <c r="BL35" i="14"/>
  <c r="BD35" i="14"/>
  <c r="BB35" i="14"/>
  <c r="BA35" i="14"/>
  <c r="AZ35" i="14"/>
  <c r="BC35" i="14" s="1"/>
  <c r="AY35" i="14"/>
  <c r="BP34" i="14"/>
  <c r="BO34" i="14"/>
  <c r="BN34" i="14"/>
  <c r="BM34" i="14"/>
  <c r="BL34" i="14"/>
  <c r="BB34" i="14"/>
  <c r="BD34" i="14" s="1"/>
  <c r="BA34" i="14"/>
  <c r="AZ34" i="14"/>
  <c r="AY34" i="14"/>
  <c r="BP33" i="14"/>
  <c r="BO33" i="14"/>
  <c r="BN33" i="14"/>
  <c r="BM33" i="14"/>
  <c r="BL33" i="14"/>
  <c r="BD33" i="14"/>
  <c r="BB33" i="14"/>
  <c r="BA33" i="14"/>
  <c r="AZ33" i="14"/>
  <c r="BC33" i="14" s="1"/>
  <c r="AY33" i="14"/>
  <c r="BP32" i="14"/>
  <c r="BO32" i="14"/>
  <c r="BN32" i="14"/>
  <c r="BM32" i="14"/>
  <c r="BL32" i="14"/>
  <c r="BB32" i="14"/>
  <c r="BD32" i="14" s="1"/>
  <c r="BA32" i="14"/>
  <c r="BC32" i="14" s="1"/>
  <c r="AZ32" i="14"/>
  <c r="AY32" i="14"/>
  <c r="BP31" i="14"/>
  <c r="BO31" i="14"/>
  <c r="BN31" i="14"/>
  <c r="BM31" i="14"/>
  <c r="BL31" i="14"/>
  <c r="BD31" i="14"/>
  <c r="BB31" i="14"/>
  <c r="BA31" i="14"/>
  <c r="AZ31" i="14"/>
  <c r="AY31" i="14"/>
  <c r="BP30" i="14"/>
  <c r="BO30" i="14"/>
  <c r="BN30" i="14"/>
  <c r="BM30" i="14"/>
  <c r="BL30" i="14"/>
  <c r="BD30" i="14"/>
  <c r="BB30" i="14"/>
  <c r="BA30" i="14"/>
  <c r="AZ30" i="14"/>
  <c r="BC30" i="14" s="1"/>
  <c r="AY30" i="14"/>
  <c r="BP29" i="14"/>
  <c r="BO29" i="14"/>
  <c r="BN29" i="14"/>
  <c r="BM29" i="14"/>
  <c r="BL29" i="14"/>
  <c r="BC29" i="14"/>
  <c r="BB29" i="14"/>
  <c r="BD29" i="14" s="1"/>
  <c r="BA29" i="14"/>
  <c r="AZ29" i="14"/>
  <c r="AY29" i="14"/>
  <c r="BP28" i="14"/>
  <c r="BO28" i="14"/>
  <c r="BN28" i="14"/>
  <c r="BM28" i="14"/>
  <c r="BL28" i="14"/>
  <c r="BQ28" i="14" s="1"/>
  <c r="BB28" i="14"/>
  <c r="BD28" i="14" s="1"/>
  <c r="BA28" i="14"/>
  <c r="AZ28" i="14"/>
  <c r="AY28" i="14"/>
  <c r="BP27" i="14"/>
  <c r="BO27" i="14"/>
  <c r="BN27" i="14"/>
  <c r="BM27" i="14"/>
  <c r="BL27" i="14"/>
  <c r="BD27" i="14"/>
  <c r="BB27" i="14"/>
  <c r="BA27" i="14"/>
  <c r="AZ27" i="14"/>
  <c r="AY27" i="14"/>
  <c r="BP26" i="14"/>
  <c r="BO26" i="14"/>
  <c r="BN26" i="14"/>
  <c r="BM26" i="14"/>
  <c r="BL26" i="14"/>
  <c r="BC26" i="14"/>
  <c r="BB26" i="14"/>
  <c r="BD26" i="14" s="1"/>
  <c r="BA26" i="14"/>
  <c r="AZ26" i="14"/>
  <c r="AY26" i="14"/>
  <c r="BP25" i="14"/>
  <c r="BO25" i="14"/>
  <c r="BN25" i="14"/>
  <c r="BM25" i="14"/>
  <c r="BL25" i="14"/>
  <c r="BB25" i="14"/>
  <c r="BD25" i="14" s="1"/>
  <c r="BA25" i="14"/>
  <c r="AZ25" i="14"/>
  <c r="BC25" i="14" s="1"/>
  <c r="AY25" i="14"/>
  <c r="BP24" i="14"/>
  <c r="BO24" i="14"/>
  <c r="BN24" i="14"/>
  <c r="BM24" i="14"/>
  <c r="BL24" i="14"/>
  <c r="BB24" i="14"/>
  <c r="BD24" i="14" s="1"/>
  <c r="BA24" i="14"/>
  <c r="AZ24" i="14"/>
  <c r="AY24" i="14"/>
  <c r="BP23" i="14"/>
  <c r="BO23" i="14"/>
  <c r="BN23" i="14"/>
  <c r="BM23" i="14"/>
  <c r="BL23" i="14"/>
  <c r="BB23" i="14"/>
  <c r="BD23" i="14" s="1"/>
  <c r="BA23" i="14"/>
  <c r="AZ23" i="14"/>
  <c r="AY23" i="14"/>
  <c r="BP22" i="14"/>
  <c r="BO22" i="14"/>
  <c r="BN22" i="14"/>
  <c r="BM22" i="14"/>
  <c r="BL22" i="14"/>
  <c r="BB22" i="14"/>
  <c r="BD22" i="14" s="1"/>
  <c r="BA22" i="14"/>
  <c r="AZ22" i="14"/>
  <c r="AY22" i="14"/>
  <c r="BP21" i="14"/>
  <c r="BO21" i="14"/>
  <c r="BN21" i="14"/>
  <c r="BM21" i="14"/>
  <c r="BL21" i="14"/>
  <c r="BB21" i="14"/>
  <c r="BD21" i="14" s="1"/>
  <c r="BA21" i="14"/>
  <c r="AZ21" i="14"/>
  <c r="AY21" i="14"/>
  <c r="BP20" i="14"/>
  <c r="BO20" i="14"/>
  <c r="BN20" i="14"/>
  <c r="BM20" i="14"/>
  <c r="BL20" i="14"/>
  <c r="BB20" i="14"/>
  <c r="BD20" i="14" s="1"/>
  <c r="BA20" i="14"/>
  <c r="AZ20" i="14"/>
  <c r="AY20" i="14"/>
  <c r="BP19" i="14"/>
  <c r="BO19" i="14"/>
  <c r="BN19" i="14"/>
  <c r="BM19" i="14"/>
  <c r="BL19" i="14"/>
  <c r="BB19" i="14"/>
  <c r="BD19" i="14" s="1"/>
  <c r="BA19" i="14"/>
  <c r="AZ19" i="14"/>
  <c r="AY19" i="14"/>
  <c r="AB19" i="14"/>
  <c r="AB20" i="14" s="1"/>
  <c r="AB21" i="14" s="1"/>
  <c r="AB22" i="14" s="1"/>
  <c r="AB23" i="14" s="1"/>
  <c r="AB24" i="14" s="1"/>
  <c r="AB25" i="14" s="1"/>
  <c r="AB28" i="14" s="1"/>
  <c r="AB29" i="14" s="1"/>
  <c r="AB30" i="14" s="1"/>
  <c r="AB31" i="14" s="1"/>
  <c r="AB32" i="14" s="1"/>
  <c r="AB33" i="14" s="1"/>
  <c r="AB34" i="14" s="1"/>
  <c r="AB35" i="14" s="1"/>
  <c r="AB36" i="14" s="1"/>
  <c r="AB37" i="14" s="1"/>
  <c r="AB38" i="14" s="1"/>
  <c r="AB39" i="14" s="1"/>
  <c r="AB40" i="14" s="1"/>
  <c r="AB41" i="14" s="1"/>
  <c r="AB42" i="14" s="1"/>
  <c r="AB43" i="14" s="1"/>
  <c r="BP18" i="14"/>
  <c r="BO18" i="14"/>
  <c r="BN18" i="14"/>
  <c r="BM18" i="14"/>
  <c r="BL18" i="14"/>
  <c r="BB18" i="14"/>
  <c r="BD18" i="14" s="1"/>
  <c r="BA18" i="14"/>
  <c r="AZ18" i="14"/>
  <c r="AY18" i="14"/>
  <c r="BP17" i="14"/>
  <c r="BO17" i="14"/>
  <c r="BN17" i="14"/>
  <c r="BM17" i="14"/>
  <c r="BL17" i="14"/>
  <c r="BB17" i="14"/>
  <c r="BD17" i="14" s="1"/>
  <c r="BA17" i="14"/>
  <c r="AZ17" i="14"/>
  <c r="AY17" i="14"/>
  <c r="BP16" i="14"/>
  <c r="BO16" i="14"/>
  <c r="BN16" i="14"/>
  <c r="BM16" i="14"/>
  <c r="BL16" i="14"/>
  <c r="BB16" i="14"/>
  <c r="BD16" i="14" s="1"/>
  <c r="BA16" i="14"/>
  <c r="AZ16" i="14"/>
  <c r="AY16" i="14"/>
  <c r="BP15" i="14"/>
  <c r="BO15" i="14"/>
  <c r="BN15" i="14"/>
  <c r="BM15" i="14"/>
  <c r="BL15" i="14"/>
  <c r="BB15" i="14"/>
  <c r="BD15" i="14" s="1"/>
  <c r="BA15" i="14"/>
  <c r="AZ15" i="14"/>
  <c r="AY15" i="14"/>
  <c r="BP14" i="14"/>
  <c r="BO14" i="14"/>
  <c r="BN14" i="14"/>
  <c r="BM14" i="14"/>
  <c r="BL14" i="14"/>
  <c r="BB14" i="14"/>
  <c r="BD14" i="14" s="1"/>
  <c r="BA14" i="14"/>
  <c r="AZ14" i="14"/>
  <c r="AY14" i="14"/>
  <c r="AP14" i="14"/>
  <c r="AP15" i="14" s="1"/>
  <c r="AP16" i="14" s="1"/>
  <c r="AP17" i="14" s="1"/>
  <c r="AP18" i="14" s="1"/>
  <c r="AP19" i="14" s="1"/>
  <c r="AP20" i="14" s="1"/>
  <c r="AP21" i="14" s="1"/>
  <c r="AP22" i="14" s="1"/>
  <c r="AP23" i="14" s="1"/>
  <c r="AP24" i="14" s="1"/>
  <c r="AP25" i="14" s="1"/>
  <c r="AP26" i="14" s="1"/>
  <c r="AP27" i="14" s="1"/>
  <c r="AP28" i="14" s="1"/>
  <c r="AP29" i="14" s="1"/>
  <c r="AP30" i="14" s="1"/>
  <c r="AP31" i="14" s="1"/>
  <c r="AP32" i="14" s="1"/>
  <c r="AP33" i="14" s="1"/>
  <c r="AP34" i="14" s="1"/>
  <c r="AP35" i="14" s="1"/>
  <c r="AP36" i="14" s="1"/>
  <c r="AP37" i="14" s="1"/>
  <c r="AP38" i="14" s="1"/>
  <c r="AP39" i="14" s="1"/>
  <c r="AP40" i="14" s="1"/>
  <c r="AP41" i="14" s="1"/>
  <c r="AP42" i="14" s="1"/>
  <c r="AP43" i="14" s="1"/>
  <c r="AP44" i="14" s="1"/>
  <c r="AP45" i="14" s="1"/>
  <c r="AP46" i="14" s="1"/>
  <c r="AB14" i="14"/>
  <c r="AB15" i="14" s="1"/>
  <c r="AB16" i="14" s="1"/>
  <c r="AB17" i="14" s="1"/>
  <c r="BP13" i="14"/>
  <c r="BO13" i="14"/>
  <c r="BN13" i="14"/>
  <c r="BM13" i="14"/>
  <c r="BL13" i="14"/>
  <c r="BB13" i="14"/>
  <c r="BD13" i="14" s="1"/>
  <c r="BA13" i="14"/>
  <c r="AZ13" i="14"/>
  <c r="AY13" i="14"/>
  <c r="BP11" i="14"/>
  <c r="BO11" i="14"/>
  <c r="BN11" i="14"/>
  <c r="BM11" i="14"/>
  <c r="BL11" i="14"/>
  <c r="BP10" i="14"/>
  <c r="BO10" i="14"/>
  <c r="BN10" i="14"/>
  <c r="BM10" i="14"/>
  <c r="BL10" i="14"/>
  <c r="Z8" i="14"/>
  <c r="J8" i="14"/>
  <c r="AC7" i="14"/>
  <c r="F25" i="14" s="1"/>
  <c r="G7" i="14"/>
  <c r="F10" i="14" s="1"/>
  <c r="D6" i="14"/>
  <c r="D3" i="14"/>
  <c r="BP46" i="15"/>
  <c r="BO46" i="15"/>
  <c r="BN46" i="15"/>
  <c r="BM46" i="15"/>
  <c r="BQ46" i="15" s="1"/>
  <c r="BL46" i="15"/>
  <c r="BB46" i="15"/>
  <c r="BD46" i="15" s="1"/>
  <c r="BA46" i="15"/>
  <c r="BC46" i="15" s="1"/>
  <c r="AZ46" i="15"/>
  <c r="AY46" i="15"/>
  <c r="BP45" i="15"/>
  <c r="BO45" i="15"/>
  <c r="BN45" i="15"/>
  <c r="BM45" i="15"/>
  <c r="BL45" i="15"/>
  <c r="BB45" i="15"/>
  <c r="BD45" i="15" s="1"/>
  <c r="BA45" i="15"/>
  <c r="AZ45" i="15"/>
  <c r="BC45" i="15" s="1"/>
  <c r="AY45" i="15"/>
  <c r="BP44" i="15"/>
  <c r="BO44" i="15"/>
  <c r="BN44" i="15"/>
  <c r="BM44" i="15"/>
  <c r="BL44" i="15"/>
  <c r="BB44" i="15"/>
  <c r="BD44" i="15" s="1"/>
  <c r="BA44" i="15"/>
  <c r="BC44" i="15" s="1"/>
  <c r="AZ44" i="15"/>
  <c r="AY44" i="15"/>
  <c r="BP43" i="15"/>
  <c r="BO43" i="15"/>
  <c r="BN43" i="15"/>
  <c r="BM43" i="15"/>
  <c r="BL43" i="15"/>
  <c r="BC43" i="15"/>
  <c r="BB43" i="15"/>
  <c r="BD43" i="15" s="1"/>
  <c r="BA43" i="15"/>
  <c r="AZ43" i="15"/>
  <c r="AY43" i="15"/>
  <c r="BP42" i="15"/>
  <c r="BO42" i="15"/>
  <c r="BN42" i="15"/>
  <c r="BM42" i="15"/>
  <c r="BQ42" i="15" s="1"/>
  <c r="BL42" i="15"/>
  <c r="BB42" i="15"/>
  <c r="BD42" i="15" s="1"/>
  <c r="BA42" i="15"/>
  <c r="BC42" i="15" s="1"/>
  <c r="AZ42" i="15"/>
  <c r="AY42" i="15"/>
  <c r="BP41" i="15"/>
  <c r="BO41" i="15"/>
  <c r="BN41" i="15"/>
  <c r="BM41" i="15"/>
  <c r="BL41" i="15"/>
  <c r="BD41" i="15"/>
  <c r="BB41" i="15"/>
  <c r="BA41" i="15"/>
  <c r="AZ41" i="15"/>
  <c r="BC41" i="15" s="1"/>
  <c r="AY41" i="15"/>
  <c r="BP40" i="15"/>
  <c r="BO40" i="15"/>
  <c r="BN40" i="15"/>
  <c r="BM40" i="15"/>
  <c r="BL40" i="15"/>
  <c r="BC40" i="15"/>
  <c r="BB40" i="15"/>
  <c r="BD40" i="15" s="1"/>
  <c r="BA40" i="15"/>
  <c r="AZ40" i="15"/>
  <c r="AY40" i="15"/>
  <c r="BP39" i="15"/>
  <c r="BO39" i="15"/>
  <c r="BN39" i="15"/>
  <c r="BM39" i="15"/>
  <c r="BL39" i="15"/>
  <c r="BQ39" i="15" s="1"/>
  <c r="BB39" i="15"/>
  <c r="BD39" i="15" s="1"/>
  <c r="BA39" i="15"/>
  <c r="AZ39" i="15"/>
  <c r="BC39" i="15" s="1"/>
  <c r="AY39" i="15"/>
  <c r="BP38" i="15"/>
  <c r="BO38" i="15"/>
  <c r="BN38" i="15"/>
  <c r="BM38" i="15"/>
  <c r="BL38" i="15"/>
  <c r="BB38" i="15"/>
  <c r="BD38" i="15" s="1"/>
  <c r="BA38" i="15"/>
  <c r="AZ38" i="15"/>
  <c r="BC38" i="15" s="1"/>
  <c r="AY38" i="15"/>
  <c r="BP37" i="15"/>
  <c r="BO37" i="15"/>
  <c r="BN37" i="15"/>
  <c r="BM37" i="15"/>
  <c r="BL37" i="15"/>
  <c r="BB37" i="15"/>
  <c r="BD37" i="15" s="1"/>
  <c r="BA37" i="15"/>
  <c r="AZ37" i="15"/>
  <c r="AY37" i="15"/>
  <c r="BP36" i="15"/>
  <c r="BO36" i="15"/>
  <c r="BN36" i="15"/>
  <c r="BM36" i="15"/>
  <c r="BL36" i="15"/>
  <c r="BB36" i="15"/>
  <c r="BD36" i="15" s="1"/>
  <c r="BA36" i="15"/>
  <c r="AZ36" i="15"/>
  <c r="BC36" i="15" s="1"/>
  <c r="AY36" i="15"/>
  <c r="BP35" i="15"/>
  <c r="BO35" i="15"/>
  <c r="BN35" i="15"/>
  <c r="BM35" i="15"/>
  <c r="BL35" i="15"/>
  <c r="BQ35" i="15" s="1"/>
  <c r="BB35" i="15"/>
  <c r="BD35" i="15" s="1"/>
  <c r="BA35" i="15"/>
  <c r="AZ35" i="15"/>
  <c r="BC35" i="15" s="1"/>
  <c r="AY35" i="15"/>
  <c r="BP34" i="15"/>
  <c r="BO34" i="15"/>
  <c r="BN34" i="15"/>
  <c r="BM34" i="15"/>
  <c r="BL34" i="15"/>
  <c r="BB34" i="15"/>
  <c r="BD34" i="15" s="1"/>
  <c r="BA34" i="15"/>
  <c r="AZ34" i="15"/>
  <c r="BC34" i="15" s="1"/>
  <c r="AY34" i="15"/>
  <c r="BP33" i="15"/>
  <c r="BO33" i="15"/>
  <c r="BN33" i="15"/>
  <c r="BM33" i="15"/>
  <c r="BL33" i="15"/>
  <c r="BB33" i="15"/>
  <c r="BD33" i="15" s="1"/>
  <c r="BA33" i="15"/>
  <c r="AZ33" i="15"/>
  <c r="AY33" i="15"/>
  <c r="BP32" i="15"/>
  <c r="BO32" i="15"/>
  <c r="BN32" i="15"/>
  <c r="BM32" i="15"/>
  <c r="BL32" i="15"/>
  <c r="BB32" i="15"/>
  <c r="BD32" i="15" s="1"/>
  <c r="BA32" i="15"/>
  <c r="AZ32" i="15"/>
  <c r="BC32" i="15" s="1"/>
  <c r="AY32" i="15"/>
  <c r="BP31" i="15"/>
  <c r="BO31" i="15"/>
  <c r="BN31" i="15"/>
  <c r="BM31" i="15"/>
  <c r="BL31" i="15"/>
  <c r="BQ31" i="15" s="1"/>
  <c r="BB31" i="15"/>
  <c r="BD31" i="15" s="1"/>
  <c r="BA31" i="15"/>
  <c r="AZ31" i="15"/>
  <c r="BC31" i="15" s="1"/>
  <c r="AY31" i="15"/>
  <c r="BP30" i="15"/>
  <c r="BO30" i="15"/>
  <c r="BN30" i="15"/>
  <c r="BM30" i="15"/>
  <c r="BL30" i="15"/>
  <c r="BB30" i="15"/>
  <c r="BD30" i="15" s="1"/>
  <c r="BA30" i="15"/>
  <c r="AZ30" i="15"/>
  <c r="BC30" i="15" s="1"/>
  <c r="AY30" i="15"/>
  <c r="BP29" i="15"/>
  <c r="BO29" i="15"/>
  <c r="BN29" i="15"/>
  <c r="BM29" i="15"/>
  <c r="BL29" i="15"/>
  <c r="BB29" i="15"/>
  <c r="BD29" i="15" s="1"/>
  <c r="BA29" i="15"/>
  <c r="AZ29" i="15"/>
  <c r="AY29" i="15"/>
  <c r="BP28" i="15"/>
  <c r="BO28" i="15"/>
  <c r="BN28" i="15"/>
  <c r="BM28" i="15"/>
  <c r="BL28" i="15"/>
  <c r="BB28" i="15"/>
  <c r="BD28" i="15" s="1"/>
  <c r="BA28" i="15"/>
  <c r="AZ28" i="15"/>
  <c r="BC28" i="15" s="1"/>
  <c r="AY28" i="15"/>
  <c r="BP27" i="15"/>
  <c r="BO27" i="15"/>
  <c r="BN27" i="15"/>
  <c r="BM27" i="15"/>
  <c r="BL27" i="15"/>
  <c r="BB27" i="15"/>
  <c r="BD27" i="15" s="1"/>
  <c r="BA27" i="15"/>
  <c r="AZ27" i="15"/>
  <c r="BC27" i="15" s="1"/>
  <c r="AY27" i="15"/>
  <c r="BP26" i="15"/>
  <c r="BO26" i="15"/>
  <c r="BN26" i="15"/>
  <c r="BM26" i="15"/>
  <c r="BL26" i="15"/>
  <c r="BB26" i="15"/>
  <c r="BD26" i="15" s="1"/>
  <c r="BA26" i="15"/>
  <c r="AZ26" i="15"/>
  <c r="BC26" i="15" s="1"/>
  <c r="AY26" i="15"/>
  <c r="BP25" i="15"/>
  <c r="BO25" i="15"/>
  <c r="BN25" i="15"/>
  <c r="BM25" i="15"/>
  <c r="BL25" i="15"/>
  <c r="BB25" i="15"/>
  <c r="BD25" i="15" s="1"/>
  <c r="BA25" i="15"/>
  <c r="AZ25" i="15"/>
  <c r="AY25" i="15"/>
  <c r="BP24" i="15"/>
  <c r="BO24" i="15"/>
  <c r="BN24" i="15"/>
  <c r="BM24" i="15"/>
  <c r="BL24" i="15"/>
  <c r="BD24" i="15"/>
  <c r="BB24" i="15"/>
  <c r="BA24" i="15"/>
  <c r="AZ24" i="15"/>
  <c r="AY24" i="15"/>
  <c r="BP23" i="15"/>
  <c r="BO23" i="15"/>
  <c r="BN23" i="15"/>
  <c r="BM23" i="15"/>
  <c r="BL23" i="15"/>
  <c r="BB23" i="15"/>
  <c r="BD23" i="15" s="1"/>
  <c r="BA23" i="15"/>
  <c r="AZ23" i="15"/>
  <c r="AY23" i="15"/>
  <c r="BP22" i="15"/>
  <c r="BO22" i="15"/>
  <c r="BN22" i="15"/>
  <c r="BM22" i="15"/>
  <c r="BL22" i="15"/>
  <c r="BB22" i="15"/>
  <c r="BD22" i="15" s="1"/>
  <c r="BA22" i="15"/>
  <c r="AZ22" i="15"/>
  <c r="AY22" i="15"/>
  <c r="BP21" i="15"/>
  <c r="BO21" i="15"/>
  <c r="BN21" i="15"/>
  <c r="BM21" i="15"/>
  <c r="BL21" i="15"/>
  <c r="BB21" i="15"/>
  <c r="BD21" i="15" s="1"/>
  <c r="BA21" i="15"/>
  <c r="AZ21" i="15"/>
  <c r="AY21" i="15"/>
  <c r="BP20" i="15"/>
  <c r="BO20" i="15"/>
  <c r="BN20" i="15"/>
  <c r="BM20" i="15"/>
  <c r="BL20" i="15"/>
  <c r="BB20" i="15"/>
  <c r="BD20" i="15" s="1"/>
  <c r="BA20" i="15"/>
  <c r="AZ20" i="15"/>
  <c r="AY20" i="15"/>
  <c r="BP19" i="15"/>
  <c r="BO19" i="15"/>
  <c r="BN19" i="15"/>
  <c r="BM19" i="15"/>
  <c r="BL19" i="15"/>
  <c r="BB19" i="15"/>
  <c r="BD19" i="15" s="1"/>
  <c r="BA19" i="15"/>
  <c r="AZ19" i="15"/>
  <c r="AY19" i="15"/>
  <c r="AB19" i="15"/>
  <c r="AB20" i="15" s="1"/>
  <c r="AB21" i="15" s="1"/>
  <c r="AB22" i="15" s="1"/>
  <c r="AB23" i="15" s="1"/>
  <c r="AB24" i="15" s="1"/>
  <c r="AB25" i="15" s="1"/>
  <c r="AB28" i="15" s="1"/>
  <c r="AB29" i="15" s="1"/>
  <c r="AB30" i="15" s="1"/>
  <c r="AB31" i="15" s="1"/>
  <c r="AB32" i="15" s="1"/>
  <c r="AB33" i="15" s="1"/>
  <c r="AB34" i="15" s="1"/>
  <c r="AB35" i="15" s="1"/>
  <c r="AB36" i="15" s="1"/>
  <c r="AB37" i="15" s="1"/>
  <c r="AB38" i="15" s="1"/>
  <c r="AB39" i="15" s="1"/>
  <c r="AB40" i="15" s="1"/>
  <c r="AB41" i="15" s="1"/>
  <c r="AB42" i="15" s="1"/>
  <c r="AB43" i="15" s="1"/>
  <c r="BP18" i="15"/>
  <c r="BO18" i="15"/>
  <c r="BN18" i="15"/>
  <c r="BM18" i="15"/>
  <c r="BL18" i="15"/>
  <c r="BB18" i="15"/>
  <c r="BD18" i="15" s="1"/>
  <c r="BA18" i="15"/>
  <c r="AZ18" i="15"/>
  <c r="AY18" i="15"/>
  <c r="BP17" i="15"/>
  <c r="BO17" i="15"/>
  <c r="BN17" i="15"/>
  <c r="BM17" i="15"/>
  <c r="BL17" i="15"/>
  <c r="BB17" i="15"/>
  <c r="BD17" i="15" s="1"/>
  <c r="BA17" i="15"/>
  <c r="AZ17" i="15"/>
  <c r="AY17" i="15"/>
  <c r="BP16" i="15"/>
  <c r="BO16" i="15"/>
  <c r="BN16" i="15"/>
  <c r="BM16" i="15"/>
  <c r="BL16" i="15"/>
  <c r="BB16" i="15"/>
  <c r="BD16" i="15" s="1"/>
  <c r="BA16" i="15"/>
  <c r="AZ16" i="15"/>
  <c r="AY16" i="15"/>
  <c r="BP15" i="15"/>
  <c r="BO15" i="15"/>
  <c r="BN15" i="15"/>
  <c r="BM15" i="15"/>
  <c r="BL15" i="15"/>
  <c r="BB15" i="15"/>
  <c r="BD15" i="15" s="1"/>
  <c r="BA15" i="15"/>
  <c r="AZ15" i="15"/>
  <c r="AY15" i="15"/>
  <c r="BP14" i="15"/>
  <c r="BO14" i="15"/>
  <c r="BN14" i="15"/>
  <c r="BM14" i="15"/>
  <c r="BL14" i="15"/>
  <c r="BB14" i="15"/>
  <c r="BD14" i="15" s="1"/>
  <c r="BA14" i="15"/>
  <c r="AZ14" i="15"/>
  <c r="AY14" i="15"/>
  <c r="AP14" i="15"/>
  <c r="AP15" i="15" s="1"/>
  <c r="AP16" i="15" s="1"/>
  <c r="AP17" i="15" s="1"/>
  <c r="AP18" i="15" s="1"/>
  <c r="AP19" i="15" s="1"/>
  <c r="AP20" i="15" s="1"/>
  <c r="AP21" i="15" s="1"/>
  <c r="AP22" i="15" s="1"/>
  <c r="AP23" i="15" s="1"/>
  <c r="AP24" i="15" s="1"/>
  <c r="AP25" i="15" s="1"/>
  <c r="AP26" i="15" s="1"/>
  <c r="AP27" i="15" s="1"/>
  <c r="AP28" i="15" s="1"/>
  <c r="AP29" i="15" s="1"/>
  <c r="AP30" i="15" s="1"/>
  <c r="AP31" i="15" s="1"/>
  <c r="AP32" i="15" s="1"/>
  <c r="AP33" i="15" s="1"/>
  <c r="AP34" i="15" s="1"/>
  <c r="AP35" i="15" s="1"/>
  <c r="AP36" i="15" s="1"/>
  <c r="AP37" i="15" s="1"/>
  <c r="AP38" i="15" s="1"/>
  <c r="AP39" i="15" s="1"/>
  <c r="AP40" i="15" s="1"/>
  <c r="AP41" i="15" s="1"/>
  <c r="AP42" i="15" s="1"/>
  <c r="AP43" i="15" s="1"/>
  <c r="AP44" i="15" s="1"/>
  <c r="AP45" i="15" s="1"/>
  <c r="AP46" i="15" s="1"/>
  <c r="AB14" i="15"/>
  <c r="AB15" i="15" s="1"/>
  <c r="AB16" i="15" s="1"/>
  <c r="AB17" i="15" s="1"/>
  <c r="BP13" i="15"/>
  <c r="BO13" i="15"/>
  <c r="BN13" i="15"/>
  <c r="BM13" i="15"/>
  <c r="BL13" i="15"/>
  <c r="BQ13" i="15" s="1"/>
  <c r="BB13" i="15"/>
  <c r="BD13" i="15" s="1"/>
  <c r="BA13" i="15"/>
  <c r="AZ13" i="15"/>
  <c r="AY13" i="15"/>
  <c r="BP11" i="15"/>
  <c r="BO11" i="15"/>
  <c r="BN11" i="15"/>
  <c r="BM11" i="15"/>
  <c r="BL11" i="15"/>
  <c r="BP10" i="15"/>
  <c r="BO10" i="15"/>
  <c r="BN10" i="15"/>
  <c r="BM10" i="15"/>
  <c r="BL10" i="15"/>
  <c r="Z8" i="15"/>
  <c r="J8" i="15"/>
  <c r="AC7" i="15"/>
  <c r="F25" i="15" s="1"/>
  <c r="G7" i="15"/>
  <c r="F10" i="15" s="1"/>
  <c r="D6" i="15"/>
  <c r="D3" i="15"/>
  <c r="BP46" i="16"/>
  <c r="BO46" i="16"/>
  <c r="BN46" i="16"/>
  <c r="BM46" i="16"/>
  <c r="BL46" i="16"/>
  <c r="BB46" i="16"/>
  <c r="BD46" i="16" s="1"/>
  <c r="BA46" i="16"/>
  <c r="AZ46" i="16"/>
  <c r="BC46" i="16" s="1"/>
  <c r="AY46" i="16"/>
  <c r="BP45" i="16"/>
  <c r="BO45" i="16"/>
  <c r="BN45" i="16"/>
  <c r="BM45" i="16"/>
  <c r="BL45" i="16"/>
  <c r="BB45" i="16"/>
  <c r="BD45" i="16" s="1"/>
  <c r="BA45" i="16"/>
  <c r="AZ45" i="16"/>
  <c r="AY45" i="16"/>
  <c r="BP44" i="16"/>
  <c r="BO44" i="16"/>
  <c r="BN44" i="16"/>
  <c r="BM44" i="16"/>
  <c r="BL44" i="16"/>
  <c r="BB44" i="16"/>
  <c r="BD44" i="16" s="1"/>
  <c r="BA44" i="16"/>
  <c r="BC44" i="16" s="1"/>
  <c r="AZ44" i="16"/>
  <c r="AY44" i="16"/>
  <c r="BP43" i="16"/>
  <c r="BO43" i="16"/>
  <c r="BN43" i="16"/>
  <c r="BM43" i="16"/>
  <c r="BL43" i="16"/>
  <c r="BB43" i="16"/>
  <c r="BD43" i="16" s="1"/>
  <c r="BA43" i="16"/>
  <c r="AZ43" i="16"/>
  <c r="AY43" i="16"/>
  <c r="BP42" i="16"/>
  <c r="BO42" i="16"/>
  <c r="BN42" i="16"/>
  <c r="BM42" i="16"/>
  <c r="BL42" i="16"/>
  <c r="BB42" i="16"/>
  <c r="BD42" i="16" s="1"/>
  <c r="BA42" i="16"/>
  <c r="AZ42" i="16"/>
  <c r="BC42" i="16" s="1"/>
  <c r="AY42" i="16"/>
  <c r="BP41" i="16"/>
  <c r="BO41" i="16"/>
  <c r="BN41" i="16"/>
  <c r="BM41" i="16"/>
  <c r="BL41" i="16"/>
  <c r="BB41" i="16"/>
  <c r="BD41" i="16" s="1"/>
  <c r="BA41" i="16"/>
  <c r="AZ41" i="16"/>
  <c r="AY41" i="16"/>
  <c r="BP40" i="16"/>
  <c r="BO40" i="16"/>
  <c r="BN40" i="16"/>
  <c r="BM40" i="16"/>
  <c r="BL40" i="16"/>
  <c r="BB40" i="16"/>
  <c r="BD40" i="16" s="1"/>
  <c r="BA40" i="16"/>
  <c r="AZ40" i="16"/>
  <c r="BC40" i="16" s="1"/>
  <c r="AY40" i="16"/>
  <c r="BP39" i="16"/>
  <c r="BO39" i="16"/>
  <c r="BN39" i="16"/>
  <c r="BM39" i="16"/>
  <c r="BL39" i="16"/>
  <c r="BB39" i="16"/>
  <c r="BD39" i="16" s="1"/>
  <c r="BA39" i="16"/>
  <c r="AZ39" i="16"/>
  <c r="AY39" i="16"/>
  <c r="BP38" i="16"/>
  <c r="BO38" i="16"/>
  <c r="BN38" i="16"/>
  <c r="BM38" i="16"/>
  <c r="BL38" i="16"/>
  <c r="BB38" i="16"/>
  <c r="BD38" i="16" s="1"/>
  <c r="BA38" i="16"/>
  <c r="AZ38" i="16"/>
  <c r="BC38" i="16" s="1"/>
  <c r="AY38" i="16"/>
  <c r="BP37" i="16"/>
  <c r="BO37" i="16"/>
  <c r="BN37" i="16"/>
  <c r="BM37" i="16"/>
  <c r="BL37" i="16"/>
  <c r="BB37" i="16"/>
  <c r="BD37" i="16" s="1"/>
  <c r="BA37" i="16"/>
  <c r="AZ37" i="16"/>
  <c r="AY37" i="16"/>
  <c r="BP36" i="16"/>
  <c r="BO36" i="16"/>
  <c r="BN36" i="16"/>
  <c r="BM36" i="16"/>
  <c r="BL36" i="16"/>
  <c r="BB36" i="16"/>
  <c r="BD36" i="16" s="1"/>
  <c r="BA36" i="16"/>
  <c r="AZ36" i="16"/>
  <c r="AY36" i="16"/>
  <c r="BP35" i="16"/>
  <c r="BO35" i="16"/>
  <c r="BN35" i="16"/>
  <c r="BM35" i="16"/>
  <c r="BL35" i="16"/>
  <c r="BB35" i="16"/>
  <c r="BD35" i="16" s="1"/>
  <c r="BA35" i="16"/>
  <c r="AZ35" i="16"/>
  <c r="AY35" i="16"/>
  <c r="BP34" i="16"/>
  <c r="BO34" i="16"/>
  <c r="BN34" i="16"/>
  <c r="BM34" i="16"/>
  <c r="BL34" i="16"/>
  <c r="BB34" i="16"/>
  <c r="BD34" i="16" s="1"/>
  <c r="BA34" i="16"/>
  <c r="AZ34" i="16"/>
  <c r="AY34" i="16"/>
  <c r="BP33" i="16"/>
  <c r="BO33" i="16"/>
  <c r="BN33" i="16"/>
  <c r="BM33" i="16"/>
  <c r="BL33" i="16"/>
  <c r="BD33" i="16"/>
  <c r="BB33" i="16"/>
  <c r="BA33" i="16"/>
  <c r="AZ33" i="16"/>
  <c r="AY33" i="16"/>
  <c r="BP32" i="16"/>
  <c r="BO32" i="16"/>
  <c r="BN32" i="16"/>
  <c r="BM32" i="16"/>
  <c r="BL32" i="16"/>
  <c r="BB32" i="16"/>
  <c r="BD32" i="16" s="1"/>
  <c r="BA32" i="16"/>
  <c r="AZ32" i="16"/>
  <c r="BC32" i="16" s="1"/>
  <c r="AY32" i="16"/>
  <c r="BP31" i="16"/>
  <c r="BO31" i="16"/>
  <c r="BN31" i="16"/>
  <c r="BM31" i="16"/>
  <c r="BL31" i="16"/>
  <c r="BB31" i="16"/>
  <c r="BD31" i="16" s="1"/>
  <c r="BA31" i="16"/>
  <c r="AZ31" i="16"/>
  <c r="BC31" i="16" s="1"/>
  <c r="AY31" i="16"/>
  <c r="BP30" i="16"/>
  <c r="BO30" i="16"/>
  <c r="BN30" i="16"/>
  <c r="BM30" i="16"/>
  <c r="BL30" i="16"/>
  <c r="BB30" i="16"/>
  <c r="BD30" i="16" s="1"/>
  <c r="BA30" i="16"/>
  <c r="AZ30" i="16"/>
  <c r="AY30" i="16"/>
  <c r="BP29" i="16"/>
  <c r="BO29" i="16"/>
  <c r="BN29" i="16"/>
  <c r="BM29" i="16"/>
  <c r="BL29" i="16"/>
  <c r="BQ29" i="16" s="1"/>
  <c r="AR29" i="16" s="1"/>
  <c r="BD29" i="16"/>
  <c r="BB29" i="16"/>
  <c r="BA29" i="16"/>
  <c r="AZ29" i="16"/>
  <c r="BC29" i="16" s="1"/>
  <c r="AY29" i="16"/>
  <c r="BP28" i="16"/>
  <c r="BO28" i="16"/>
  <c r="BN28" i="16"/>
  <c r="BM28" i="16"/>
  <c r="BL28" i="16"/>
  <c r="BB28" i="16"/>
  <c r="BD28" i="16" s="1"/>
  <c r="BA28" i="16"/>
  <c r="AZ28" i="16"/>
  <c r="AY28" i="16"/>
  <c r="BP27" i="16"/>
  <c r="BO27" i="16"/>
  <c r="BN27" i="16"/>
  <c r="BM27" i="16"/>
  <c r="BL27" i="16"/>
  <c r="BB27" i="16"/>
  <c r="BD27" i="16" s="1"/>
  <c r="BA27" i="16"/>
  <c r="AZ27" i="16"/>
  <c r="AY27" i="16"/>
  <c r="BP26" i="16"/>
  <c r="BO26" i="16"/>
  <c r="BN26" i="16"/>
  <c r="BM26" i="16"/>
  <c r="BL26" i="16"/>
  <c r="BB26" i="16"/>
  <c r="BD26" i="16" s="1"/>
  <c r="BA26" i="16"/>
  <c r="AZ26" i="16"/>
  <c r="AY26" i="16"/>
  <c r="BP25" i="16"/>
  <c r="BO25" i="16"/>
  <c r="BN25" i="16"/>
  <c r="BM25" i="16"/>
  <c r="BL25" i="16"/>
  <c r="BB25" i="16"/>
  <c r="BD25" i="16" s="1"/>
  <c r="BA25" i="16"/>
  <c r="AZ25" i="16"/>
  <c r="AY25" i="16"/>
  <c r="BP24" i="16"/>
  <c r="BO24" i="16"/>
  <c r="BN24" i="16"/>
  <c r="BM24" i="16"/>
  <c r="BL24" i="16"/>
  <c r="BB24" i="16"/>
  <c r="BD24" i="16" s="1"/>
  <c r="BA24" i="16"/>
  <c r="AZ24" i="16"/>
  <c r="AY24" i="16"/>
  <c r="BP23" i="16"/>
  <c r="BO23" i="16"/>
  <c r="BN23" i="16"/>
  <c r="BM23" i="16"/>
  <c r="BL23" i="16"/>
  <c r="BQ23" i="16" s="1"/>
  <c r="BB23" i="16"/>
  <c r="BD23" i="16" s="1"/>
  <c r="BA23" i="16"/>
  <c r="AZ23" i="16"/>
  <c r="AY23" i="16"/>
  <c r="BP22" i="16"/>
  <c r="BO22" i="16"/>
  <c r="BN22" i="16"/>
  <c r="BM22" i="16"/>
  <c r="BL22" i="16"/>
  <c r="BD22" i="16"/>
  <c r="BB22" i="16"/>
  <c r="BA22" i="16"/>
  <c r="AZ22" i="16"/>
  <c r="BC22" i="16" s="1"/>
  <c r="AY22" i="16"/>
  <c r="BP21" i="16"/>
  <c r="BO21" i="16"/>
  <c r="BN21" i="16"/>
  <c r="BM21" i="16"/>
  <c r="BL21" i="16"/>
  <c r="BB21" i="16"/>
  <c r="BD21" i="16" s="1"/>
  <c r="BA21" i="16"/>
  <c r="AZ21" i="16"/>
  <c r="BC21" i="16" s="1"/>
  <c r="AY21" i="16"/>
  <c r="BP20" i="16"/>
  <c r="BO20" i="16"/>
  <c r="BN20" i="16"/>
  <c r="BM20" i="16"/>
  <c r="BL20" i="16"/>
  <c r="BB20" i="16"/>
  <c r="BD20" i="16" s="1"/>
  <c r="BA20" i="16"/>
  <c r="AZ20" i="16"/>
  <c r="BC20" i="16" s="1"/>
  <c r="AY20" i="16"/>
  <c r="BP19" i="16"/>
  <c r="BO19" i="16"/>
  <c r="BN19" i="16"/>
  <c r="BM19" i="16"/>
  <c r="BL19" i="16"/>
  <c r="BB19" i="16"/>
  <c r="BD19" i="16" s="1"/>
  <c r="BA19" i="16"/>
  <c r="AZ19" i="16"/>
  <c r="AY19" i="16"/>
  <c r="AB19" i="16"/>
  <c r="AB20" i="16" s="1"/>
  <c r="AB21" i="16" s="1"/>
  <c r="AB22" i="16" s="1"/>
  <c r="AB23" i="16" s="1"/>
  <c r="AB24" i="16" s="1"/>
  <c r="AB25" i="16" s="1"/>
  <c r="AB28" i="16" s="1"/>
  <c r="AB29" i="16" s="1"/>
  <c r="AB30" i="16" s="1"/>
  <c r="AB31" i="16" s="1"/>
  <c r="AB32" i="16" s="1"/>
  <c r="AB33" i="16" s="1"/>
  <c r="AB34" i="16" s="1"/>
  <c r="AB35" i="16" s="1"/>
  <c r="AB36" i="16" s="1"/>
  <c r="AB37" i="16" s="1"/>
  <c r="AB38" i="16" s="1"/>
  <c r="AB39" i="16" s="1"/>
  <c r="AB40" i="16" s="1"/>
  <c r="AB41" i="16" s="1"/>
  <c r="AB42" i="16" s="1"/>
  <c r="AB43" i="16" s="1"/>
  <c r="BP18" i="16"/>
  <c r="BO18" i="16"/>
  <c r="BN18" i="16"/>
  <c r="BM18" i="16"/>
  <c r="BL18" i="16"/>
  <c r="BB18" i="16"/>
  <c r="BD18" i="16" s="1"/>
  <c r="BA18" i="16"/>
  <c r="AZ18" i="16"/>
  <c r="AY18" i="16"/>
  <c r="BP17" i="16"/>
  <c r="BO17" i="16"/>
  <c r="BN17" i="16"/>
  <c r="BM17" i="16"/>
  <c r="BL17" i="16"/>
  <c r="BB17" i="16"/>
  <c r="BD17" i="16" s="1"/>
  <c r="BA17" i="16"/>
  <c r="AZ17" i="16"/>
  <c r="AY17" i="16"/>
  <c r="BP16" i="16"/>
  <c r="BO16" i="16"/>
  <c r="BN16" i="16"/>
  <c r="BM16" i="16"/>
  <c r="BL16" i="16"/>
  <c r="BB16" i="16"/>
  <c r="BD16" i="16" s="1"/>
  <c r="BA16" i="16"/>
  <c r="AZ16" i="16"/>
  <c r="AY16" i="16"/>
  <c r="BP15" i="16"/>
  <c r="BO15" i="16"/>
  <c r="BN15" i="16"/>
  <c r="BM15" i="16"/>
  <c r="BL15" i="16"/>
  <c r="BB15" i="16"/>
  <c r="BD15" i="16" s="1"/>
  <c r="BA15" i="16"/>
  <c r="AZ15" i="16"/>
  <c r="AY15" i="16"/>
  <c r="BP14" i="16"/>
  <c r="BO14" i="16"/>
  <c r="BN14" i="16"/>
  <c r="BM14" i="16"/>
  <c r="BL14" i="16"/>
  <c r="BB14" i="16"/>
  <c r="BD14" i="16" s="1"/>
  <c r="BA14" i="16"/>
  <c r="AZ14" i="16"/>
  <c r="AY14" i="16"/>
  <c r="AP14" i="16"/>
  <c r="AP15" i="16" s="1"/>
  <c r="AP16" i="16" s="1"/>
  <c r="AP17" i="16" s="1"/>
  <c r="AP18" i="16" s="1"/>
  <c r="AP19" i="16" s="1"/>
  <c r="AP20" i="16" s="1"/>
  <c r="AP21" i="16" s="1"/>
  <c r="AP22" i="16" s="1"/>
  <c r="AP23" i="16" s="1"/>
  <c r="AP24" i="16" s="1"/>
  <c r="AP25" i="16" s="1"/>
  <c r="AP26" i="16" s="1"/>
  <c r="AP27" i="16" s="1"/>
  <c r="AP28" i="16" s="1"/>
  <c r="AP29" i="16" s="1"/>
  <c r="AP30" i="16" s="1"/>
  <c r="AP31" i="16" s="1"/>
  <c r="AP32" i="16" s="1"/>
  <c r="AP33" i="16" s="1"/>
  <c r="AP34" i="16" s="1"/>
  <c r="AP35" i="16" s="1"/>
  <c r="AP36" i="16" s="1"/>
  <c r="AP37" i="16" s="1"/>
  <c r="AP38" i="16" s="1"/>
  <c r="AP39" i="16" s="1"/>
  <c r="AP40" i="16" s="1"/>
  <c r="AP41" i="16" s="1"/>
  <c r="AP42" i="16" s="1"/>
  <c r="AP43" i="16" s="1"/>
  <c r="AP44" i="16" s="1"/>
  <c r="AP45" i="16" s="1"/>
  <c r="AP46" i="16" s="1"/>
  <c r="AB14" i="16"/>
  <c r="AB15" i="16" s="1"/>
  <c r="AB16" i="16" s="1"/>
  <c r="AB17" i="16" s="1"/>
  <c r="BP13" i="16"/>
  <c r="BO13" i="16"/>
  <c r="BN13" i="16"/>
  <c r="BM13" i="16"/>
  <c r="BL13" i="16"/>
  <c r="BB13" i="16"/>
  <c r="BD13" i="16" s="1"/>
  <c r="BA13" i="16"/>
  <c r="AZ13" i="16"/>
  <c r="AY13" i="16"/>
  <c r="BP11" i="16"/>
  <c r="BO11" i="16"/>
  <c r="BN11" i="16"/>
  <c r="BM11" i="16"/>
  <c r="BL11" i="16"/>
  <c r="BP10" i="16"/>
  <c r="BO10" i="16"/>
  <c r="BN10" i="16"/>
  <c r="BM10" i="16"/>
  <c r="BL10" i="16"/>
  <c r="Z8" i="16"/>
  <c r="J8" i="16"/>
  <c r="AC7" i="16"/>
  <c r="F25" i="16" s="1"/>
  <c r="G7" i="16"/>
  <c r="F10" i="16" s="1"/>
  <c r="D6" i="16"/>
  <c r="D3" i="16"/>
  <c r="BP46" i="17"/>
  <c r="BO46" i="17"/>
  <c r="BN46" i="17"/>
  <c r="BM46" i="17"/>
  <c r="BL46" i="17"/>
  <c r="BB46" i="17"/>
  <c r="BD46" i="17" s="1"/>
  <c r="BA46" i="17"/>
  <c r="BC46" i="17" s="1"/>
  <c r="AZ46" i="17"/>
  <c r="AY46" i="17"/>
  <c r="BP45" i="17"/>
  <c r="BO45" i="17"/>
  <c r="BN45" i="17"/>
  <c r="BM45" i="17"/>
  <c r="BL45" i="17"/>
  <c r="BC45" i="17"/>
  <c r="BB45" i="17"/>
  <c r="BD45" i="17" s="1"/>
  <c r="BA45" i="17"/>
  <c r="AZ45" i="17"/>
  <c r="AY45" i="17"/>
  <c r="BP44" i="17"/>
  <c r="BO44" i="17"/>
  <c r="BN44" i="17"/>
  <c r="BM44" i="17"/>
  <c r="BQ44" i="17" s="1"/>
  <c r="BL44" i="17"/>
  <c r="BB44" i="17"/>
  <c r="BD44" i="17" s="1"/>
  <c r="BA44" i="17"/>
  <c r="BC44" i="17" s="1"/>
  <c r="AZ44" i="17"/>
  <c r="AY44" i="17"/>
  <c r="BP43" i="17"/>
  <c r="BO43" i="17"/>
  <c r="BN43" i="17"/>
  <c r="BM43" i="17"/>
  <c r="BL43" i="17"/>
  <c r="BB43" i="17"/>
  <c r="BD43" i="17" s="1"/>
  <c r="BA43" i="17"/>
  <c r="AZ43" i="17"/>
  <c r="BC43" i="17" s="1"/>
  <c r="AY43" i="17"/>
  <c r="BP42" i="17"/>
  <c r="BO42" i="17"/>
  <c r="BN42" i="17"/>
  <c r="BM42" i="17"/>
  <c r="BL42" i="17"/>
  <c r="BB42" i="17"/>
  <c r="BD42" i="17" s="1"/>
  <c r="BA42" i="17"/>
  <c r="BC42" i="17" s="1"/>
  <c r="AZ42" i="17"/>
  <c r="AY42" i="17"/>
  <c r="BP41" i="17"/>
  <c r="BO41" i="17"/>
  <c r="BN41" i="17"/>
  <c r="BM41" i="17"/>
  <c r="BL41" i="17"/>
  <c r="BC41" i="17"/>
  <c r="BB41" i="17"/>
  <c r="BD41" i="17" s="1"/>
  <c r="BA41" i="17"/>
  <c r="AZ41" i="17"/>
  <c r="AY41" i="17"/>
  <c r="BP40" i="17"/>
  <c r="BO40" i="17"/>
  <c r="BN40" i="17"/>
  <c r="BM40" i="17"/>
  <c r="BQ40" i="17" s="1"/>
  <c r="BL40" i="17"/>
  <c r="BB40" i="17"/>
  <c r="BD40" i="17" s="1"/>
  <c r="BA40" i="17"/>
  <c r="BC40" i="17" s="1"/>
  <c r="AZ40" i="17"/>
  <c r="AY40" i="17"/>
  <c r="BP39" i="17"/>
  <c r="BO39" i="17"/>
  <c r="BN39" i="17"/>
  <c r="BM39" i="17"/>
  <c r="BL39" i="17"/>
  <c r="BQ39" i="17" s="1"/>
  <c r="BD39" i="17"/>
  <c r="BB39" i="17"/>
  <c r="BA39" i="17"/>
  <c r="AZ39" i="17"/>
  <c r="AY39" i="17"/>
  <c r="BP38" i="17"/>
  <c r="BO38" i="17"/>
  <c r="BN38" i="17"/>
  <c r="BM38" i="17"/>
  <c r="BL38" i="17"/>
  <c r="BB38" i="17"/>
  <c r="BD38" i="17" s="1"/>
  <c r="BA38" i="17"/>
  <c r="AZ38" i="17"/>
  <c r="AY38" i="17"/>
  <c r="BP37" i="17"/>
  <c r="BO37" i="17"/>
  <c r="BN37" i="17"/>
  <c r="BM37" i="17"/>
  <c r="BL37" i="17"/>
  <c r="BB37" i="17"/>
  <c r="BD37" i="17" s="1"/>
  <c r="BA37" i="17"/>
  <c r="AZ37" i="17"/>
  <c r="AY37" i="17"/>
  <c r="BP36" i="17"/>
  <c r="BO36" i="17"/>
  <c r="BN36" i="17"/>
  <c r="BM36" i="17"/>
  <c r="BL36" i="17"/>
  <c r="BB36" i="17"/>
  <c r="BD36" i="17" s="1"/>
  <c r="BA36" i="17"/>
  <c r="AZ36" i="17"/>
  <c r="BC36" i="17" s="1"/>
  <c r="AY36" i="17"/>
  <c r="BP35" i="17"/>
  <c r="BO35" i="17"/>
  <c r="BN35" i="17"/>
  <c r="BM35" i="17"/>
  <c r="BL35" i="17"/>
  <c r="BB35" i="17"/>
  <c r="BD35" i="17" s="1"/>
  <c r="BA35" i="17"/>
  <c r="AZ35" i="17"/>
  <c r="BC35" i="17" s="1"/>
  <c r="AY35" i="17"/>
  <c r="BP34" i="17"/>
  <c r="BO34" i="17"/>
  <c r="BN34" i="17"/>
  <c r="BM34" i="17"/>
  <c r="BL34" i="17"/>
  <c r="BQ34" i="17" s="1"/>
  <c r="AO34" i="17" s="1"/>
  <c r="BB34" i="17"/>
  <c r="BD34" i="17" s="1"/>
  <c r="BA34" i="17"/>
  <c r="AZ34" i="17"/>
  <c r="AY34" i="17"/>
  <c r="BP33" i="17"/>
  <c r="BO33" i="17"/>
  <c r="BN33" i="17"/>
  <c r="BM33" i="17"/>
  <c r="BL33" i="17"/>
  <c r="BD33" i="17"/>
  <c r="BB33" i="17"/>
  <c r="BA33" i="17"/>
  <c r="AZ33" i="17"/>
  <c r="BC33" i="17" s="1"/>
  <c r="AY33" i="17"/>
  <c r="BP32" i="17"/>
  <c r="BO32" i="17"/>
  <c r="BN32" i="17"/>
  <c r="BM32" i="17"/>
  <c r="BL32" i="17"/>
  <c r="BB32" i="17"/>
  <c r="BD32" i="17" s="1"/>
  <c r="BA32" i="17"/>
  <c r="AZ32" i="17"/>
  <c r="BC32" i="17" s="1"/>
  <c r="AY32" i="17"/>
  <c r="BP31" i="17"/>
  <c r="BO31" i="17"/>
  <c r="BN31" i="17"/>
  <c r="BM31" i="17"/>
  <c r="BL31" i="17"/>
  <c r="BB31" i="17"/>
  <c r="BD31" i="17" s="1"/>
  <c r="BA31" i="17"/>
  <c r="AZ31" i="17"/>
  <c r="BC31" i="17" s="1"/>
  <c r="AY31" i="17"/>
  <c r="BP30" i="17"/>
  <c r="BO30" i="17"/>
  <c r="BN30" i="17"/>
  <c r="BM30" i="17"/>
  <c r="BL30" i="17"/>
  <c r="BQ30" i="17" s="1"/>
  <c r="AO30" i="17" s="1"/>
  <c r="BB30" i="17"/>
  <c r="BD30" i="17" s="1"/>
  <c r="BA30" i="17"/>
  <c r="AZ30" i="17"/>
  <c r="AY30" i="17"/>
  <c r="BP29" i="17"/>
  <c r="BO29" i="17"/>
  <c r="BN29" i="17"/>
  <c r="BM29" i="17"/>
  <c r="BL29" i="17"/>
  <c r="BD29" i="17"/>
  <c r="BB29" i="17"/>
  <c r="BA29" i="17"/>
  <c r="AZ29" i="17"/>
  <c r="BC29" i="17" s="1"/>
  <c r="AY29" i="17"/>
  <c r="BP28" i="17"/>
  <c r="BO28" i="17"/>
  <c r="BN28" i="17"/>
  <c r="BM28" i="17"/>
  <c r="BL28" i="17"/>
  <c r="BB28" i="17"/>
  <c r="BD28" i="17" s="1"/>
  <c r="BA28" i="17"/>
  <c r="AZ28" i="17"/>
  <c r="BC28" i="17" s="1"/>
  <c r="AY28" i="17"/>
  <c r="BP27" i="17"/>
  <c r="BO27" i="17"/>
  <c r="BN27" i="17"/>
  <c r="BM27" i="17"/>
  <c r="BL27" i="17"/>
  <c r="BB27" i="17"/>
  <c r="BD27" i="17" s="1"/>
  <c r="BA27" i="17"/>
  <c r="AZ27" i="17"/>
  <c r="BC27" i="17" s="1"/>
  <c r="AY27" i="17"/>
  <c r="BP26" i="17"/>
  <c r="BO26" i="17"/>
  <c r="BN26" i="17"/>
  <c r="BM26" i="17"/>
  <c r="BL26" i="17"/>
  <c r="BB26" i="17"/>
  <c r="BD26" i="17" s="1"/>
  <c r="BA26" i="17"/>
  <c r="BC26" i="17" s="1"/>
  <c r="AZ26" i="17"/>
  <c r="AY26" i="17"/>
  <c r="BP25" i="17"/>
  <c r="BO25" i="17"/>
  <c r="BN25" i="17"/>
  <c r="BM25" i="17"/>
  <c r="BL25" i="17"/>
  <c r="BB25" i="17"/>
  <c r="BD25" i="17" s="1"/>
  <c r="BA25" i="17"/>
  <c r="AZ25" i="17"/>
  <c r="AY25" i="17"/>
  <c r="BP24" i="17"/>
  <c r="BO24" i="17"/>
  <c r="BN24" i="17"/>
  <c r="BM24" i="17"/>
  <c r="BL24" i="17"/>
  <c r="BD24" i="17"/>
  <c r="BB24" i="17"/>
  <c r="BA24" i="17"/>
  <c r="AZ24" i="17"/>
  <c r="BC24" i="17" s="1"/>
  <c r="AY24" i="17"/>
  <c r="BP23" i="17"/>
  <c r="BO23" i="17"/>
  <c r="BN23" i="17"/>
  <c r="BM23" i="17"/>
  <c r="BL23" i="17"/>
  <c r="BB23" i="17"/>
  <c r="BD23" i="17" s="1"/>
  <c r="BA23" i="17"/>
  <c r="AZ23" i="17"/>
  <c r="AY23" i="17"/>
  <c r="BP22" i="17"/>
  <c r="BO22" i="17"/>
  <c r="BN22" i="17"/>
  <c r="BM22" i="17"/>
  <c r="BL22" i="17"/>
  <c r="BB22" i="17"/>
  <c r="BD22" i="17" s="1"/>
  <c r="BA22" i="17"/>
  <c r="AZ22" i="17"/>
  <c r="AY22" i="17"/>
  <c r="BP21" i="17"/>
  <c r="BO21" i="17"/>
  <c r="BN21" i="17"/>
  <c r="BM21" i="17"/>
  <c r="BL21" i="17"/>
  <c r="BQ21" i="17" s="1"/>
  <c r="BB21" i="17"/>
  <c r="BD21" i="17" s="1"/>
  <c r="BA21" i="17"/>
  <c r="AZ21" i="17"/>
  <c r="AY21" i="17"/>
  <c r="BP20" i="17"/>
  <c r="BO20" i="17"/>
  <c r="BN20" i="17"/>
  <c r="BM20" i="17"/>
  <c r="BL20" i="17"/>
  <c r="BB20" i="17"/>
  <c r="BD20" i="17" s="1"/>
  <c r="BA20" i="17"/>
  <c r="AZ20" i="17"/>
  <c r="BC20" i="17" s="1"/>
  <c r="AY20" i="17"/>
  <c r="BP19" i="17"/>
  <c r="BO19" i="17"/>
  <c r="BN19" i="17"/>
  <c r="BM19" i="17"/>
  <c r="BL19" i="17"/>
  <c r="BB19" i="17"/>
  <c r="BD19" i="17" s="1"/>
  <c r="BA19" i="17"/>
  <c r="AZ19" i="17"/>
  <c r="BC19" i="17" s="1"/>
  <c r="AY19" i="17"/>
  <c r="AB19" i="17"/>
  <c r="AB20" i="17" s="1"/>
  <c r="AB21" i="17" s="1"/>
  <c r="AB22" i="17" s="1"/>
  <c r="AB23" i="17" s="1"/>
  <c r="AB24" i="17" s="1"/>
  <c r="AB25" i="17" s="1"/>
  <c r="AB28" i="17" s="1"/>
  <c r="AB29" i="17" s="1"/>
  <c r="AB30" i="17" s="1"/>
  <c r="AB31" i="17" s="1"/>
  <c r="AB32" i="17" s="1"/>
  <c r="AB33" i="17" s="1"/>
  <c r="AB34" i="17" s="1"/>
  <c r="AB35" i="17" s="1"/>
  <c r="AB36" i="17" s="1"/>
  <c r="AB37" i="17" s="1"/>
  <c r="AB38" i="17" s="1"/>
  <c r="AB39" i="17" s="1"/>
  <c r="AB40" i="17" s="1"/>
  <c r="AB41" i="17" s="1"/>
  <c r="AB42" i="17" s="1"/>
  <c r="AB43" i="17" s="1"/>
  <c r="BP18" i="17"/>
  <c r="BO18" i="17"/>
  <c r="BN18" i="17"/>
  <c r="BM18" i="17"/>
  <c r="BL18" i="17"/>
  <c r="BB18" i="17"/>
  <c r="BD18" i="17" s="1"/>
  <c r="BA18" i="17"/>
  <c r="AZ18" i="17"/>
  <c r="AY18" i="17"/>
  <c r="BP17" i="17"/>
  <c r="BO17" i="17"/>
  <c r="BN17" i="17"/>
  <c r="BM17" i="17"/>
  <c r="BL17" i="17"/>
  <c r="BB17" i="17"/>
  <c r="BD17" i="17" s="1"/>
  <c r="BA17" i="17"/>
  <c r="AZ17" i="17"/>
  <c r="AY17" i="17"/>
  <c r="BP16" i="17"/>
  <c r="BO16" i="17"/>
  <c r="BN16" i="17"/>
  <c r="BM16" i="17"/>
  <c r="BL16" i="17"/>
  <c r="BB16" i="17"/>
  <c r="BD16" i="17" s="1"/>
  <c r="BA16" i="17"/>
  <c r="AZ16" i="17"/>
  <c r="AY16" i="17"/>
  <c r="BP15" i="17"/>
  <c r="BO15" i="17"/>
  <c r="BN15" i="17"/>
  <c r="BM15" i="17"/>
  <c r="BL15" i="17"/>
  <c r="BB15" i="17"/>
  <c r="BD15" i="17" s="1"/>
  <c r="BA15" i="17"/>
  <c r="AZ15" i="17"/>
  <c r="AY15" i="17"/>
  <c r="BP14" i="17"/>
  <c r="BO14" i="17"/>
  <c r="BN14" i="17"/>
  <c r="BM14" i="17"/>
  <c r="BL14" i="17"/>
  <c r="BB14" i="17"/>
  <c r="BD14" i="17" s="1"/>
  <c r="BA14" i="17"/>
  <c r="AZ14" i="17"/>
  <c r="AY14" i="17"/>
  <c r="AP14" i="17"/>
  <c r="AP15" i="17" s="1"/>
  <c r="AP16" i="17" s="1"/>
  <c r="AP17" i="17" s="1"/>
  <c r="AP18" i="17" s="1"/>
  <c r="AP19" i="17" s="1"/>
  <c r="AP20" i="17" s="1"/>
  <c r="AP21" i="17" s="1"/>
  <c r="AP22" i="17" s="1"/>
  <c r="AP23" i="17" s="1"/>
  <c r="AP24" i="17" s="1"/>
  <c r="AP25" i="17" s="1"/>
  <c r="AP26" i="17" s="1"/>
  <c r="AP27" i="17" s="1"/>
  <c r="AP28" i="17" s="1"/>
  <c r="AP29" i="17" s="1"/>
  <c r="AP30" i="17" s="1"/>
  <c r="AP31" i="17" s="1"/>
  <c r="AP32" i="17" s="1"/>
  <c r="AP33" i="17" s="1"/>
  <c r="AP34" i="17" s="1"/>
  <c r="AP35" i="17" s="1"/>
  <c r="AP36" i="17" s="1"/>
  <c r="AP37" i="17" s="1"/>
  <c r="AP38" i="17" s="1"/>
  <c r="AP39" i="17" s="1"/>
  <c r="AP40" i="17" s="1"/>
  <c r="AP41" i="17" s="1"/>
  <c r="AP42" i="17" s="1"/>
  <c r="AP43" i="17" s="1"/>
  <c r="AP44" i="17" s="1"/>
  <c r="AP45" i="17" s="1"/>
  <c r="AP46" i="17" s="1"/>
  <c r="AB14" i="17"/>
  <c r="AB15" i="17" s="1"/>
  <c r="AB16" i="17" s="1"/>
  <c r="AB17" i="17" s="1"/>
  <c r="BP13" i="17"/>
  <c r="BO13" i="17"/>
  <c r="BN13" i="17"/>
  <c r="BM13" i="17"/>
  <c r="BL13" i="17"/>
  <c r="BB13" i="17"/>
  <c r="BD13" i="17" s="1"/>
  <c r="BA13" i="17"/>
  <c r="AZ13" i="17"/>
  <c r="AY13" i="17"/>
  <c r="BP11" i="17"/>
  <c r="BO11" i="17"/>
  <c r="BN11" i="17"/>
  <c r="BM11" i="17"/>
  <c r="BL11" i="17"/>
  <c r="BP10" i="17"/>
  <c r="BO10" i="17"/>
  <c r="BN10" i="17"/>
  <c r="BM10" i="17"/>
  <c r="BL10" i="17"/>
  <c r="Z8" i="17"/>
  <c r="J8" i="17"/>
  <c r="AC7" i="17"/>
  <c r="F25" i="17" s="1"/>
  <c r="G7" i="17"/>
  <c r="F10" i="17" s="1"/>
  <c r="D6" i="17"/>
  <c r="D3" i="17"/>
  <c r="BP46" i="18"/>
  <c r="BO46" i="18"/>
  <c r="BN46" i="18"/>
  <c r="BM46" i="18"/>
  <c r="BL46" i="18"/>
  <c r="BB46" i="18"/>
  <c r="BD46" i="18" s="1"/>
  <c r="BA46" i="18"/>
  <c r="AZ46" i="18"/>
  <c r="BC46" i="18" s="1"/>
  <c r="AY46" i="18"/>
  <c r="BP45" i="18"/>
  <c r="BO45" i="18"/>
  <c r="BN45" i="18"/>
  <c r="BM45" i="18"/>
  <c r="BL45" i="18"/>
  <c r="BB45" i="18"/>
  <c r="BD45" i="18" s="1"/>
  <c r="BA45" i="18"/>
  <c r="AZ45" i="18"/>
  <c r="AY45" i="18"/>
  <c r="BP44" i="18"/>
  <c r="BO44" i="18"/>
  <c r="BN44" i="18"/>
  <c r="BM44" i="18"/>
  <c r="BL44" i="18"/>
  <c r="BC44" i="18"/>
  <c r="BB44" i="18"/>
  <c r="BD44" i="18" s="1"/>
  <c r="BA44" i="18"/>
  <c r="AZ44" i="18"/>
  <c r="AY44" i="18"/>
  <c r="BP43" i="18"/>
  <c r="BO43" i="18"/>
  <c r="BN43" i="18"/>
  <c r="BM43" i="18"/>
  <c r="BQ43" i="18" s="1"/>
  <c r="BL43" i="18"/>
  <c r="BB43" i="18"/>
  <c r="BD43" i="18" s="1"/>
  <c r="BA43" i="18"/>
  <c r="AZ43" i="18"/>
  <c r="BC43" i="18" s="1"/>
  <c r="AY43" i="18"/>
  <c r="BP42" i="18"/>
  <c r="BO42" i="18"/>
  <c r="BN42" i="18"/>
  <c r="BM42" i="18"/>
  <c r="BL42" i="18"/>
  <c r="BC42" i="18"/>
  <c r="BB42" i="18"/>
  <c r="BD42" i="18" s="1"/>
  <c r="BA42" i="18"/>
  <c r="AZ42" i="18"/>
  <c r="AY42" i="18"/>
  <c r="BP41" i="18"/>
  <c r="BO41" i="18"/>
  <c r="BN41" i="18"/>
  <c r="BM41" i="18"/>
  <c r="BL41" i="18"/>
  <c r="BB41" i="18"/>
  <c r="BD41" i="18" s="1"/>
  <c r="BA41" i="18"/>
  <c r="AZ41" i="18"/>
  <c r="AY41" i="18"/>
  <c r="BP40" i="18"/>
  <c r="BO40" i="18"/>
  <c r="BN40" i="18"/>
  <c r="BM40" i="18"/>
  <c r="BL40" i="18"/>
  <c r="BC40" i="18"/>
  <c r="BB40" i="18"/>
  <c r="BD40" i="18" s="1"/>
  <c r="BA40" i="18"/>
  <c r="AZ40" i="18"/>
  <c r="AY40" i="18"/>
  <c r="BP39" i="18"/>
  <c r="BO39" i="18"/>
  <c r="BN39" i="18"/>
  <c r="BM39" i="18"/>
  <c r="BL39" i="18"/>
  <c r="BB39" i="18"/>
  <c r="BD39" i="18" s="1"/>
  <c r="BA39" i="18"/>
  <c r="AZ39" i="18"/>
  <c r="BC39" i="18" s="1"/>
  <c r="AY39" i="18"/>
  <c r="BP38" i="18"/>
  <c r="BO38" i="18"/>
  <c r="BN38" i="18"/>
  <c r="BM38" i="18"/>
  <c r="BL38" i="18"/>
  <c r="BB38" i="18"/>
  <c r="BD38" i="18" s="1"/>
  <c r="BA38" i="18"/>
  <c r="AZ38" i="18"/>
  <c r="BC38" i="18" s="1"/>
  <c r="AY38" i="18"/>
  <c r="BP37" i="18"/>
  <c r="BO37" i="18"/>
  <c r="BN37" i="18"/>
  <c r="BM37" i="18"/>
  <c r="BL37" i="18"/>
  <c r="BQ37" i="18" s="1"/>
  <c r="AO37" i="18" s="1"/>
  <c r="BB37" i="18"/>
  <c r="BD37" i="18" s="1"/>
  <c r="BA37" i="18"/>
  <c r="AZ37" i="18"/>
  <c r="AY37" i="18"/>
  <c r="BP36" i="18"/>
  <c r="BO36" i="18"/>
  <c r="BN36" i="18"/>
  <c r="BM36" i="18"/>
  <c r="BL36" i="18"/>
  <c r="BD36" i="18"/>
  <c r="BB36" i="18"/>
  <c r="BA36" i="18"/>
  <c r="AZ36" i="18"/>
  <c r="BC36" i="18" s="1"/>
  <c r="AY36" i="18"/>
  <c r="BP35" i="18"/>
  <c r="BO35" i="18"/>
  <c r="BN35" i="18"/>
  <c r="BM35" i="18"/>
  <c r="BL35" i="18"/>
  <c r="BB35" i="18"/>
  <c r="BD35" i="18" s="1"/>
  <c r="BA35" i="18"/>
  <c r="AZ35" i="18"/>
  <c r="BC35" i="18" s="1"/>
  <c r="AY35" i="18"/>
  <c r="BP34" i="18"/>
  <c r="BO34" i="18"/>
  <c r="BN34" i="18"/>
  <c r="BM34" i="18"/>
  <c r="BL34" i="18"/>
  <c r="BB34" i="18"/>
  <c r="BD34" i="18" s="1"/>
  <c r="BA34" i="18"/>
  <c r="AZ34" i="18"/>
  <c r="BC34" i="18" s="1"/>
  <c r="AY34" i="18"/>
  <c r="BP33" i="18"/>
  <c r="BO33" i="18"/>
  <c r="BN33" i="18"/>
  <c r="BM33" i="18"/>
  <c r="BL33" i="18"/>
  <c r="BQ33" i="18" s="1"/>
  <c r="AO33" i="18" s="1"/>
  <c r="BB33" i="18"/>
  <c r="BD33" i="18" s="1"/>
  <c r="BA33" i="18"/>
  <c r="AZ33" i="18"/>
  <c r="AY33" i="18"/>
  <c r="BP32" i="18"/>
  <c r="BO32" i="18"/>
  <c r="BN32" i="18"/>
  <c r="BM32" i="18"/>
  <c r="BL32" i="18"/>
  <c r="BD32" i="18"/>
  <c r="BB32" i="18"/>
  <c r="BA32" i="18"/>
  <c r="AZ32" i="18"/>
  <c r="BC32" i="18" s="1"/>
  <c r="AY32" i="18"/>
  <c r="BP31" i="18"/>
  <c r="BO31" i="18"/>
  <c r="BN31" i="18"/>
  <c r="BM31" i="18"/>
  <c r="BL31" i="18"/>
  <c r="BB31" i="18"/>
  <c r="BD31" i="18" s="1"/>
  <c r="BA31" i="18"/>
  <c r="AZ31" i="18"/>
  <c r="BC31" i="18" s="1"/>
  <c r="AY31" i="18"/>
  <c r="BP30" i="18"/>
  <c r="BO30" i="18"/>
  <c r="BN30" i="18"/>
  <c r="BM30" i="18"/>
  <c r="BL30" i="18"/>
  <c r="BB30" i="18"/>
  <c r="BD30" i="18" s="1"/>
  <c r="BA30" i="18"/>
  <c r="AZ30" i="18"/>
  <c r="BC30" i="18" s="1"/>
  <c r="AY30" i="18"/>
  <c r="BP29" i="18"/>
  <c r="BO29" i="18"/>
  <c r="BN29" i="18"/>
  <c r="BM29" i="18"/>
  <c r="BL29" i="18"/>
  <c r="BQ29" i="18" s="1"/>
  <c r="AR29" i="18" s="1"/>
  <c r="BB29" i="18"/>
  <c r="BD29" i="18" s="1"/>
  <c r="BA29" i="18"/>
  <c r="AZ29" i="18"/>
  <c r="AY29" i="18"/>
  <c r="BP28" i="18"/>
  <c r="BO28" i="18"/>
  <c r="BN28" i="18"/>
  <c r="BM28" i="18"/>
  <c r="BL28" i="18"/>
  <c r="BD28" i="18"/>
  <c r="BB28" i="18"/>
  <c r="BA28" i="18"/>
  <c r="AZ28" i="18"/>
  <c r="BC28" i="18" s="1"/>
  <c r="AY28" i="18"/>
  <c r="BP27" i="18"/>
  <c r="BO27" i="18"/>
  <c r="BN27" i="18"/>
  <c r="BM27" i="18"/>
  <c r="BL27" i="18"/>
  <c r="BB27" i="18"/>
  <c r="BD27" i="18" s="1"/>
  <c r="BA27" i="18"/>
  <c r="AZ27" i="18"/>
  <c r="BC27" i="18" s="1"/>
  <c r="AY27" i="18"/>
  <c r="BP26" i="18"/>
  <c r="BO26" i="18"/>
  <c r="BN26" i="18"/>
  <c r="BM26" i="18"/>
  <c r="BL26" i="18"/>
  <c r="BB26" i="18"/>
  <c r="BD26" i="18" s="1"/>
  <c r="BA26" i="18"/>
  <c r="AZ26" i="18"/>
  <c r="BC26" i="18" s="1"/>
  <c r="AY26" i="18"/>
  <c r="BP25" i="18"/>
  <c r="BO25" i="18"/>
  <c r="BN25" i="18"/>
  <c r="BM25" i="18"/>
  <c r="BL25" i="18"/>
  <c r="BB25" i="18"/>
  <c r="BD25" i="18" s="1"/>
  <c r="BA25" i="18"/>
  <c r="AZ25" i="18"/>
  <c r="AY25" i="18"/>
  <c r="BP24" i="18"/>
  <c r="BO24" i="18"/>
  <c r="BN24" i="18"/>
  <c r="BM24" i="18"/>
  <c r="BL24" i="18"/>
  <c r="BD24" i="18"/>
  <c r="BB24" i="18"/>
  <c r="BA24" i="18"/>
  <c r="AZ24" i="18"/>
  <c r="AY24" i="18"/>
  <c r="BP23" i="18"/>
  <c r="BO23" i="18"/>
  <c r="BN23" i="18"/>
  <c r="BM23" i="18"/>
  <c r="BL23" i="18"/>
  <c r="BB23" i="18"/>
  <c r="BD23" i="18" s="1"/>
  <c r="BA23" i="18"/>
  <c r="AZ23" i="18"/>
  <c r="AY23" i="18"/>
  <c r="BP22" i="18"/>
  <c r="BO22" i="18"/>
  <c r="BN22" i="18"/>
  <c r="BM22" i="18"/>
  <c r="BL22" i="18"/>
  <c r="BB22" i="18"/>
  <c r="BD22" i="18" s="1"/>
  <c r="BA22" i="18"/>
  <c r="AZ22" i="18"/>
  <c r="AY22" i="18"/>
  <c r="BP21" i="18"/>
  <c r="BO21" i="18"/>
  <c r="BN21" i="18"/>
  <c r="BM21" i="18"/>
  <c r="BL21" i="18"/>
  <c r="BB21" i="18"/>
  <c r="BD21" i="18" s="1"/>
  <c r="BA21" i="18"/>
  <c r="AZ21" i="18"/>
  <c r="BC21" i="18" s="1"/>
  <c r="AY21" i="18"/>
  <c r="BP20" i="18"/>
  <c r="BO20" i="18"/>
  <c r="BN20" i="18"/>
  <c r="BM20" i="18"/>
  <c r="BL20" i="18"/>
  <c r="BB20" i="18"/>
  <c r="BD20" i="18" s="1"/>
  <c r="BA20" i="18"/>
  <c r="AZ20" i="18"/>
  <c r="AY20" i="18"/>
  <c r="BP19" i="18"/>
  <c r="BO19" i="18"/>
  <c r="BN19" i="18"/>
  <c r="BM19" i="18"/>
  <c r="BL19" i="18"/>
  <c r="BB19" i="18"/>
  <c r="BD19" i="18" s="1"/>
  <c r="BA19" i="18"/>
  <c r="AZ19" i="18"/>
  <c r="AY19" i="18"/>
  <c r="AB19" i="18"/>
  <c r="AB20" i="18" s="1"/>
  <c r="AB21" i="18" s="1"/>
  <c r="AB22" i="18" s="1"/>
  <c r="AB23" i="18" s="1"/>
  <c r="AB24" i="18" s="1"/>
  <c r="AB25" i="18" s="1"/>
  <c r="AB28" i="18" s="1"/>
  <c r="AB29" i="18" s="1"/>
  <c r="AB30" i="18" s="1"/>
  <c r="AB31" i="18" s="1"/>
  <c r="AB32" i="18" s="1"/>
  <c r="AB33" i="18" s="1"/>
  <c r="AB34" i="18" s="1"/>
  <c r="AB35" i="18" s="1"/>
  <c r="AB36" i="18" s="1"/>
  <c r="AB37" i="18" s="1"/>
  <c r="AB38" i="18" s="1"/>
  <c r="AB39" i="18" s="1"/>
  <c r="AB40" i="18" s="1"/>
  <c r="AB41" i="18" s="1"/>
  <c r="AB42" i="18" s="1"/>
  <c r="AB43" i="18" s="1"/>
  <c r="BP18" i="18"/>
  <c r="BO18" i="18"/>
  <c r="BN18" i="18"/>
  <c r="BM18" i="18"/>
  <c r="BL18" i="18"/>
  <c r="BB18" i="18"/>
  <c r="BD18" i="18" s="1"/>
  <c r="BA18" i="18"/>
  <c r="AZ18" i="18"/>
  <c r="AY18" i="18"/>
  <c r="BP17" i="18"/>
  <c r="BO17" i="18"/>
  <c r="BN17" i="18"/>
  <c r="BM17" i="18"/>
  <c r="BL17" i="18"/>
  <c r="BB17" i="18"/>
  <c r="BD17" i="18" s="1"/>
  <c r="BA17" i="18"/>
  <c r="AZ17" i="18"/>
  <c r="AY17" i="18"/>
  <c r="BP16" i="18"/>
  <c r="BO16" i="18"/>
  <c r="BN16" i="18"/>
  <c r="BM16" i="18"/>
  <c r="BL16" i="18"/>
  <c r="BB16" i="18"/>
  <c r="BD16" i="18" s="1"/>
  <c r="BA16" i="18"/>
  <c r="AZ16" i="18"/>
  <c r="AY16" i="18"/>
  <c r="BP15" i="18"/>
  <c r="BO15" i="18"/>
  <c r="BN15" i="18"/>
  <c r="BM15" i="18"/>
  <c r="BL15" i="18"/>
  <c r="BB15" i="18"/>
  <c r="BD15" i="18" s="1"/>
  <c r="BA15" i="18"/>
  <c r="AZ15" i="18"/>
  <c r="BC15" i="18" s="1"/>
  <c r="AY15" i="18"/>
  <c r="BP14" i="18"/>
  <c r="BO14" i="18"/>
  <c r="BN14" i="18"/>
  <c r="BM14" i="18"/>
  <c r="BL14" i="18"/>
  <c r="BB14" i="18"/>
  <c r="BD14" i="18" s="1"/>
  <c r="BA14" i="18"/>
  <c r="AZ14" i="18"/>
  <c r="AY14" i="18"/>
  <c r="AP14" i="18"/>
  <c r="AP15" i="18" s="1"/>
  <c r="AP16" i="18" s="1"/>
  <c r="AP17" i="18" s="1"/>
  <c r="AP18" i="18" s="1"/>
  <c r="AP19" i="18" s="1"/>
  <c r="AP20" i="18" s="1"/>
  <c r="AP21" i="18" s="1"/>
  <c r="AP22" i="18" s="1"/>
  <c r="AP23" i="18" s="1"/>
  <c r="AP24" i="18" s="1"/>
  <c r="AP25" i="18" s="1"/>
  <c r="AP26" i="18" s="1"/>
  <c r="AP27" i="18" s="1"/>
  <c r="AP28" i="18" s="1"/>
  <c r="AP29" i="18" s="1"/>
  <c r="AP30" i="18" s="1"/>
  <c r="AP31" i="18" s="1"/>
  <c r="AP32" i="18" s="1"/>
  <c r="AP33" i="18" s="1"/>
  <c r="AP34" i="18" s="1"/>
  <c r="AP35" i="18" s="1"/>
  <c r="AP36" i="18" s="1"/>
  <c r="AP37" i="18" s="1"/>
  <c r="AP38" i="18" s="1"/>
  <c r="AP39" i="18" s="1"/>
  <c r="AP40" i="18" s="1"/>
  <c r="AP41" i="18" s="1"/>
  <c r="AP42" i="18" s="1"/>
  <c r="AP43" i="18" s="1"/>
  <c r="AP44" i="18" s="1"/>
  <c r="AP45" i="18" s="1"/>
  <c r="AP46" i="18" s="1"/>
  <c r="AB14" i="18"/>
  <c r="AB15" i="18" s="1"/>
  <c r="AB16" i="18" s="1"/>
  <c r="AB17" i="18" s="1"/>
  <c r="BP13" i="18"/>
  <c r="BO13" i="18"/>
  <c r="BN13" i="18"/>
  <c r="BM13" i="18"/>
  <c r="BL13" i="18"/>
  <c r="BB13" i="18"/>
  <c r="BD13" i="18" s="1"/>
  <c r="BA13" i="18"/>
  <c r="AZ13" i="18"/>
  <c r="AY13" i="18"/>
  <c r="BP11" i="18"/>
  <c r="BO11" i="18"/>
  <c r="BN11" i="18"/>
  <c r="BM11" i="18"/>
  <c r="BL11" i="18"/>
  <c r="BP10" i="18"/>
  <c r="BO10" i="18"/>
  <c r="BN10" i="18"/>
  <c r="BM10" i="18"/>
  <c r="BL10" i="18"/>
  <c r="Z8" i="18"/>
  <c r="J8" i="18"/>
  <c r="AC7" i="18"/>
  <c r="F25" i="18" s="1"/>
  <c r="G7" i="18"/>
  <c r="F10" i="18" s="1"/>
  <c r="D6" i="18"/>
  <c r="D3" i="18"/>
  <c r="BP46" i="19"/>
  <c r="BO46" i="19"/>
  <c r="BN46" i="19"/>
  <c r="BM46" i="19"/>
  <c r="BL46" i="19"/>
  <c r="BB46" i="19"/>
  <c r="BD46" i="19" s="1"/>
  <c r="BA46" i="19"/>
  <c r="AZ46" i="19"/>
  <c r="AY46" i="19"/>
  <c r="BP45" i="19"/>
  <c r="BO45" i="19"/>
  <c r="BN45" i="19"/>
  <c r="BM45" i="19"/>
  <c r="BL45" i="19"/>
  <c r="BD45" i="19"/>
  <c r="BB45" i="19"/>
  <c r="BA45" i="19"/>
  <c r="AZ45" i="19"/>
  <c r="BC45" i="19" s="1"/>
  <c r="AY45" i="19"/>
  <c r="BP44" i="19"/>
  <c r="BO44" i="19"/>
  <c r="BN44" i="19"/>
  <c r="BM44" i="19"/>
  <c r="BL44" i="19"/>
  <c r="BB44" i="19"/>
  <c r="BD44" i="19" s="1"/>
  <c r="BA44" i="19"/>
  <c r="AZ44" i="19"/>
  <c r="BC44" i="19" s="1"/>
  <c r="AY44" i="19"/>
  <c r="BP43" i="19"/>
  <c r="BO43" i="19"/>
  <c r="BN43" i="19"/>
  <c r="BM43" i="19"/>
  <c r="BL43" i="19"/>
  <c r="BQ43" i="19" s="1"/>
  <c r="BB43" i="19"/>
  <c r="BD43" i="19" s="1"/>
  <c r="BA43" i="19"/>
  <c r="AZ43" i="19"/>
  <c r="BC43" i="19" s="1"/>
  <c r="AY43" i="19"/>
  <c r="BP42" i="19"/>
  <c r="BO42" i="19"/>
  <c r="BN42" i="19"/>
  <c r="BM42" i="19"/>
  <c r="BL42" i="19"/>
  <c r="BB42" i="19"/>
  <c r="BD42" i="19" s="1"/>
  <c r="BA42" i="19"/>
  <c r="AZ42" i="19"/>
  <c r="AY42" i="19"/>
  <c r="BP41" i="19"/>
  <c r="BO41" i="19"/>
  <c r="BN41" i="19"/>
  <c r="BM41" i="19"/>
  <c r="BL41" i="19"/>
  <c r="BD41" i="19"/>
  <c r="BB41" i="19"/>
  <c r="BA41" i="19"/>
  <c r="AZ41" i="19"/>
  <c r="BC41" i="19" s="1"/>
  <c r="AY41" i="19"/>
  <c r="BP40" i="19"/>
  <c r="BO40" i="19"/>
  <c r="BN40" i="19"/>
  <c r="BM40" i="19"/>
  <c r="BL40" i="19"/>
  <c r="BB40" i="19"/>
  <c r="BD40" i="19" s="1"/>
  <c r="BA40" i="19"/>
  <c r="AZ40" i="19"/>
  <c r="BC40" i="19" s="1"/>
  <c r="AY40" i="19"/>
  <c r="BP39" i="19"/>
  <c r="BO39" i="19"/>
  <c r="BN39" i="19"/>
  <c r="BM39" i="19"/>
  <c r="BL39" i="19"/>
  <c r="BB39" i="19"/>
  <c r="BD39" i="19" s="1"/>
  <c r="BA39" i="19"/>
  <c r="BC39" i="19" s="1"/>
  <c r="AZ39" i="19"/>
  <c r="AY39" i="19"/>
  <c r="BP38" i="19"/>
  <c r="BO38" i="19"/>
  <c r="BN38" i="19"/>
  <c r="BM38" i="19"/>
  <c r="BL38" i="19"/>
  <c r="BB38" i="19"/>
  <c r="BD38" i="19" s="1"/>
  <c r="BA38" i="19"/>
  <c r="AZ38" i="19"/>
  <c r="AY38" i="19"/>
  <c r="BP37" i="19"/>
  <c r="BO37" i="19"/>
  <c r="BN37" i="19"/>
  <c r="BM37" i="19"/>
  <c r="BL37" i="19"/>
  <c r="BB37" i="19"/>
  <c r="BD37" i="19" s="1"/>
  <c r="BA37" i="19"/>
  <c r="BC37" i="19" s="1"/>
  <c r="AZ37" i="19"/>
  <c r="AY37" i="19"/>
  <c r="BP36" i="19"/>
  <c r="BO36" i="19"/>
  <c r="BN36" i="19"/>
  <c r="BM36" i="19"/>
  <c r="BQ36" i="19" s="1"/>
  <c r="BL36" i="19"/>
  <c r="BB36" i="19"/>
  <c r="BD36" i="19" s="1"/>
  <c r="BA36" i="19"/>
  <c r="AZ36" i="19"/>
  <c r="AY36" i="19"/>
  <c r="BP35" i="19"/>
  <c r="BO35" i="19"/>
  <c r="BN35" i="19"/>
  <c r="BM35" i="19"/>
  <c r="BL35" i="19"/>
  <c r="BB35" i="19"/>
  <c r="BD35" i="19" s="1"/>
  <c r="BA35" i="19"/>
  <c r="BC35" i="19" s="1"/>
  <c r="AZ35" i="19"/>
  <c r="AY35" i="19"/>
  <c r="BP34" i="19"/>
  <c r="BO34" i="19"/>
  <c r="BN34" i="19"/>
  <c r="BM34" i="19"/>
  <c r="BL34" i="19"/>
  <c r="BB34" i="19"/>
  <c r="BD34" i="19" s="1"/>
  <c r="BA34" i="19"/>
  <c r="AZ34" i="19"/>
  <c r="AY34" i="19"/>
  <c r="BP33" i="19"/>
  <c r="BO33" i="19"/>
  <c r="BN33" i="19"/>
  <c r="BM33" i="19"/>
  <c r="BL33" i="19"/>
  <c r="BB33" i="19"/>
  <c r="BD33" i="19" s="1"/>
  <c r="BA33" i="19"/>
  <c r="BC33" i="19" s="1"/>
  <c r="AZ33" i="19"/>
  <c r="AY33" i="19"/>
  <c r="BP32" i="19"/>
  <c r="BO32" i="19"/>
  <c r="BN32" i="19"/>
  <c r="BM32" i="19"/>
  <c r="BQ32" i="19" s="1"/>
  <c r="BL32" i="19"/>
  <c r="BB32" i="19"/>
  <c r="BD32" i="19" s="1"/>
  <c r="BA32" i="19"/>
  <c r="AZ32" i="19"/>
  <c r="AY32" i="19"/>
  <c r="BP31" i="19"/>
  <c r="BO31" i="19"/>
  <c r="BN31" i="19"/>
  <c r="BM31" i="19"/>
  <c r="BL31" i="19"/>
  <c r="BB31" i="19"/>
  <c r="BD31" i="19" s="1"/>
  <c r="BA31" i="19"/>
  <c r="BC31" i="19" s="1"/>
  <c r="AZ31" i="19"/>
  <c r="AY31" i="19"/>
  <c r="BP30" i="19"/>
  <c r="BO30" i="19"/>
  <c r="BN30" i="19"/>
  <c r="BM30" i="19"/>
  <c r="BL30" i="19"/>
  <c r="BB30" i="19"/>
  <c r="BD30" i="19" s="1"/>
  <c r="BA30" i="19"/>
  <c r="AZ30" i="19"/>
  <c r="AY30" i="19"/>
  <c r="BP29" i="19"/>
  <c r="BO29" i="19"/>
  <c r="BN29" i="19"/>
  <c r="BM29" i="19"/>
  <c r="BL29" i="19"/>
  <c r="BQ29" i="19" s="1"/>
  <c r="BB29" i="19"/>
  <c r="BD29" i="19" s="1"/>
  <c r="BA29" i="19"/>
  <c r="BC29" i="19" s="1"/>
  <c r="AZ29" i="19"/>
  <c r="AY29" i="19"/>
  <c r="BP28" i="19"/>
  <c r="BO28" i="19"/>
  <c r="BN28" i="19"/>
  <c r="BM28" i="19"/>
  <c r="BL28" i="19"/>
  <c r="BB28" i="19"/>
  <c r="BD28" i="19" s="1"/>
  <c r="BA28" i="19"/>
  <c r="AZ28" i="19"/>
  <c r="AY28" i="19"/>
  <c r="BP27" i="19"/>
  <c r="BO27" i="19"/>
  <c r="BN27" i="19"/>
  <c r="BM27" i="19"/>
  <c r="BL27" i="19"/>
  <c r="BB27" i="19"/>
  <c r="BD27" i="19" s="1"/>
  <c r="BA27" i="19"/>
  <c r="BC27" i="19" s="1"/>
  <c r="AZ27" i="19"/>
  <c r="AY27" i="19"/>
  <c r="BP26" i="19"/>
  <c r="BO26" i="19"/>
  <c r="BN26" i="19"/>
  <c r="BM26" i="19"/>
  <c r="BL26" i="19"/>
  <c r="BD26" i="19"/>
  <c r="BB26" i="19"/>
  <c r="BA26" i="19"/>
  <c r="AZ26" i="19"/>
  <c r="AY26" i="19"/>
  <c r="BP25" i="19"/>
  <c r="BO25" i="19"/>
  <c r="BN25" i="19"/>
  <c r="BM25" i="19"/>
  <c r="BQ25" i="19" s="1"/>
  <c r="BL25" i="19"/>
  <c r="BB25" i="19"/>
  <c r="BD25" i="19" s="1"/>
  <c r="BA25" i="19"/>
  <c r="AZ25" i="19"/>
  <c r="BC25" i="19" s="1"/>
  <c r="AY25" i="19"/>
  <c r="BP24" i="19"/>
  <c r="BO24" i="19"/>
  <c r="BN24" i="19"/>
  <c r="BM24" i="19"/>
  <c r="BL24" i="19"/>
  <c r="BQ24" i="19" s="1"/>
  <c r="AR24" i="19" s="1"/>
  <c r="BB24" i="19"/>
  <c r="BD24" i="19" s="1"/>
  <c r="BA24" i="19"/>
  <c r="AZ24" i="19"/>
  <c r="BC24" i="19" s="1"/>
  <c r="AY24" i="19"/>
  <c r="BP23" i="19"/>
  <c r="BO23" i="19"/>
  <c r="BN23" i="19"/>
  <c r="BM23" i="19"/>
  <c r="BL23" i="19"/>
  <c r="BB23" i="19"/>
  <c r="BD23" i="19" s="1"/>
  <c r="BA23" i="19"/>
  <c r="AZ23" i="19"/>
  <c r="BC23" i="19" s="1"/>
  <c r="AY23" i="19"/>
  <c r="BP22" i="19"/>
  <c r="BO22" i="19"/>
  <c r="BN22" i="19"/>
  <c r="BM22" i="19"/>
  <c r="BL22" i="19"/>
  <c r="BB22" i="19"/>
  <c r="BD22" i="19" s="1"/>
  <c r="BA22" i="19"/>
  <c r="AZ22" i="19"/>
  <c r="BC22" i="19" s="1"/>
  <c r="AY22" i="19"/>
  <c r="BP21" i="19"/>
  <c r="BO21" i="19"/>
  <c r="BN21" i="19"/>
  <c r="BM21" i="19"/>
  <c r="BL21" i="19"/>
  <c r="BB21" i="19"/>
  <c r="BD21" i="19" s="1"/>
  <c r="BA21" i="19"/>
  <c r="AZ21" i="19"/>
  <c r="BC21" i="19" s="1"/>
  <c r="AY21" i="19"/>
  <c r="BP20" i="19"/>
  <c r="BO20" i="19"/>
  <c r="BN20" i="19"/>
  <c r="BM20" i="19"/>
  <c r="BL20" i="19"/>
  <c r="BB20" i="19"/>
  <c r="BD20" i="19" s="1"/>
  <c r="BA20" i="19"/>
  <c r="AZ20" i="19"/>
  <c r="BC20" i="19" s="1"/>
  <c r="AY20" i="19"/>
  <c r="BP19" i="19"/>
  <c r="BO19" i="19"/>
  <c r="BN19" i="19"/>
  <c r="BM19" i="19"/>
  <c r="BL19" i="19"/>
  <c r="BB19" i="19"/>
  <c r="BD19" i="19" s="1"/>
  <c r="BA19" i="19"/>
  <c r="AZ19" i="19"/>
  <c r="AY19" i="19"/>
  <c r="AB19" i="19"/>
  <c r="AB20" i="19" s="1"/>
  <c r="AB21" i="19" s="1"/>
  <c r="AB22" i="19" s="1"/>
  <c r="AB23" i="19" s="1"/>
  <c r="AB24" i="19" s="1"/>
  <c r="AB25" i="19" s="1"/>
  <c r="AB28" i="19" s="1"/>
  <c r="AB29" i="19" s="1"/>
  <c r="AB30" i="19" s="1"/>
  <c r="AB31" i="19" s="1"/>
  <c r="AB32" i="19" s="1"/>
  <c r="AB33" i="19" s="1"/>
  <c r="AB34" i="19" s="1"/>
  <c r="AB35" i="19" s="1"/>
  <c r="AB36" i="19" s="1"/>
  <c r="AB37" i="19" s="1"/>
  <c r="AB38" i="19" s="1"/>
  <c r="AB39" i="19" s="1"/>
  <c r="AB40" i="19" s="1"/>
  <c r="AB41" i="19" s="1"/>
  <c r="AB42" i="19" s="1"/>
  <c r="AB43" i="19" s="1"/>
  <c r="BP18" i="19"/>
  <c r="BO18" i="19"/>
  <c r="BN18" i="19"/>
  <c r="BM18" i="19"/>
  <c r="BL18" i="19"/>
  <c r="BB18" i="19"/>
  <c r="BD18" i="19" s="1"/>
  <c r="BA18" i="19"/>
  <c r="AZ18" i="19"/>
  <c r="AY18" i="19"/>
  <c r="BP17" i="19"/>
  <c r="BO17" i="19"/>
  <c r="BN17" i="19"/>
  <c r="BM17" i="19"/>
  <c r="BL17" i="19"/>
  <c r="BB17" i="19"/>
  <c r="BD17" i="19" s="1"/>
  <c r="BA17" i="19"/>
  <c r="AZ17" i="19"/>
  <c r="AY17" i="19"/>
  <c r="BP16" i="19"/>
  <c r="BO16" i="19"/>
  <c r="BN16" i="19"/>
  <c r="BM16" i="19"/>
  <c r="BL16" i="19"/>
  <c r="BB16" i="19"/>
  <c r="BD16" i="19" s="1"/>
  <c r="BA16" i="19"/>
  <c r="AZ16" i="19"/>
  <c r="AY16" i="19"/>
  <c r="BP15" i="19"/>
  <c r="BO15" i="19"/>
  <c r="BN15" i="19"/>
  <c r="BM15" i="19"/>
  <c r="BL15" i="19"/>
  <c r="BB15" i="19"/>
  <c r="BD15" i="19" s="1"/>
  <c r="BA15" i="19"/>
  <c r="AZ15" i="19"/>
  <c r="AY15" i="19"/>
  <c r="BP14" i="19"/>
  <c r="BO14" i="19"/>
  <c r="BN14" i="19"/>
  <c r="BM14" i="19"/>
  <c r="BL14" i="19"/>
  <c r="BB14" i="19"/>
  <c r="BD14" i="19" s="1"/>
  <c r="BA14" i="19"/>
  <c r="AZ14" i="19"/>
  <c r="AY14" i="19"/>
  <c r="AP14" i="19"/>
  <c r="AP15" i="19" s="1"/>
  <c r="AP16" i="19" s="1"/>
  <c r="AP17" i="19" s="1"/>
  <c r="AP18" i="19" s="1"/>
  <c r="AP19" i="19" s="1"/>
  <c r="AP20" i="19" s="1"/>
  <c r="AP21" i="19" s="1"/>
  <c r="AP22" i="19" s="1"/>
  <c r="AP23" i="19" s="1"/>
  <c r="AP24" i="19" s="1"/>
  <c r="AP25" i="19" s="1"/>
  <c r="AP26" i="19" s="1"/>
  <c r="AP27" i="19" s="1"/>
  <c r="AP28" i="19" s="1"/>
  <c r="AP29" i="19" s="1"/>
  <c r="AP30" i="19" s="1"/>
  <c r="AP31" i="19" s="1"/>
  <c r="AP32" i="19" s="1"/>
  <c r="AP33" i="19" s="1"/>
  <c r="AP34" i="19" s="1"/>
  <c r="AP35" i="19" s="1"/>
  <c r="AP36" i="19" s="1"/>
  <c r="AP37" i="19" s="1"/>
  <c r="AP38" i="19" s="1"/>
  <c r="AP39" i="19" s="1"/>
  <c r="AP40" i="19" s="1"/>
  <c r="AP41" i="19" s="1"/>
  <c r="AP42" i="19" s="1"/>
  <c r="AP43" i="19" s="1"/>
  <c r="AP44" i="19" s="1"/>
  <c r="AP45" i="19" s="1"/>
  <c r="AP46" i="19" s="1"/>
  <c r="AB14" i="19"/>
  <c r="AB15" i="19" s="1"/>
  <c r="AB16" i="19" s="1"/>
  <c r="AB17" i="19" s="1"/>
  <c r="BP13" i="19"/>
  <c r="BO13" i="19"/>
  <c r="BN13" i="19"/>
  <c r="BM13" i="19"/>
  <c r="BL13" i="19"/>
  <c r="BB13" i="19"/>
  <c r="BD13" i="19" s="1"/>
  <c r="BA13" i="19"/>
  <c r="AZ13" i="19"/>
  <c r="AY13" i="19"/>
  <c r="BP11" i="19"/>
  <c r="BO11" i="19"/>
  <c r="BN11" i="19"/>
  <c r="BM11" i="19"/>
  <c r="BL11" i="19"/>
  <c r="BP10" i="19"/>
  <c r="BO10" i="19"/>
  <c r="BN10" i="19"/>
  <c r="BM10" i="19"/>
  <c r="BL10" i="19"/>
  <c r="Z8" i="19"/>
  <c r="J8" i="19"/>
  <c r="AC7" i="19"/>
  <c r="F25" i="19" s="1"/>
  <c r="G7" i="19"/>
  <c r="F10" i="19" s="1"/>
  <c r="D6" i="19"/>
  <c r="D3" i="19"/>
  <c r="BP46" i="20"/>
  <c r="BO46" i="20"/>
  <c r="BN46" i="20"/>
  <c r="BM46" i="20"/>
  <c r="BL46" i="20"/>
  <c r="BB46" i="20"/>
  <c r="BD46" i="20" s="1"/>
  <c r="BA46" i="20"/>
  <c r="AZ46" i="20"/>
  <c r="AY46" i="20"/>
  <c r="BP45" i="20"/>
  <c r="BO45" i="20"/>
  <c r="BN45" i="20"/>
  <c r="BM45" i="20"/>
  <c r="BQ45" i="20" s="1"/>
  <c r="BL45" i="20"/>
  <c r="BB45" i="20"/>
  <c r="BD45" i="20" s="1"/>
  <c r="BA45" i="20"/>
  <c r="BC45" i="20" s="1"/>
  <c r="AZ45" i="20"/>
  <c r="AY45" i="20"/>
  <c r="BP44" i="20"/>
  <c r="BO44" i="20"/>
  <c r="BN44" i="20"/>
  <c r="BM44" i="20"/>
  <c r="BL44" i="20"/>
  <c r="BC44" i="20"/>
  <c r="BB44" i="20"/>
  <c r="BD44" i="20" s="1"/>
  <c r="BA44" i="20"/>
  <c r="AZ44" i="20"/>
  <c r="AY44" i="20"/>
  <c r="BP43" i="20"/>
  <c r="BO43" i="20"/>
  <c r="BN43" i="20"/>
  <c r="BM43" i="20"/>
  <c r="BQ43" i="20" s="1"/>
  <c r="BL43" i="20"/>
  <c r="BB43" i="20"/>
  <c r="BD43" i="20" s="1"/>
  <c r="BA43" i="20"/>
  <c r="BC43" i="20" s="1"/>
  <c r="AZ43" i="20"/>
  <c r="AY43" i="20"/>
  <c r="BP42" i="20"/>
  <c r="BO42" i="20"/>
  <c r="BN42" i="20"/>
  <c r="BM42" i="20"/>
  <c r="BL42" i="20"/>
  <c r="BC42" i="20"/>
  <c r="BB42" i="20"/>
  <c r="BD42" i="20" s="1"/>
  <c r="BA42" i="20"/>
  <c r="AZ42" i="20"/>
  <c r="AY42" i="20"/>
  <c r="BP41" i="20"/>
  <c r="BO41" i="20"/>
  <c r="BN41" i="20"/>
  <c r="BM41" i="20"/>
  <c r="BQ41" i="20" s="1"/>
  <c r="BL41" i="20"/>
  <c r="BC41" i="20"/>
  <c r="BB41" i="20"/>
  <c r="BD41" i="20" s="1"/>
  <c r="BA41" i="20"/>
  <c r="AZ41" i="20"/>
  <c r="AY41" i="20"/>
  <c r="BP40" i="20"/>
  <c r="BO40" i="20"/>
  <c r="BN40" i="20"/>
  <c r="BM40" i="20"/>
  <c r="BQ40" i="20" s="1"/>
  <c r="BL40" i="20"/>
  <c r="BB40" i="20"/>
  <c r="BD40" i="20" s="1"/>
  <c r="BA40" i="20"/>
  <c r="BC40" i="20" s="1"/>
  <c r="AZ40" i="20"/>
  <c r="AY40" i="20"/>
  <c r="BP39" i="20"/>
  <c r="BO39" i="20"/>
  <c r="BN39" i="20"/>
  <c r="BM39" i="20"/>
  <c r="BL39" i="20"/>
  <c r="BD39" i="20"/>
  <c r="BB39" i="20"/>
  <c r="BA39" i="20"/>
  <c r="AZ39" i="20"/>
  <c r="AY39" i="20"/>
  <c r="BP38" i="20"/>
  <c r="BO38" i="20"/>
  <c r="BN38" i="20"/>
  <c r="BM38" i="20"/>
  <c r="BL38" i="20"/>
  <c r="BB38" i="20"/>
  <c r="BD38" i="20" s="1"/>
  <c r="BA38" i="20"/>
  <c r="AZ38" i="20"/>
  <c r="BC38" i="20" s="1"/>
  <c r="AY38" i="20"/>
  <c r="BP37" i="20"/>
  <c r="BO37" i="20"/>
  <c r="BN37" i="20"/>
  <c r="BM37" i="20"/>
  <c r="BL37" i="20"/>
  <c r="BB37" i="20"/>
  <c r="BD37" i="20" s="1"/>
  <c r="BA37" i="20"/>
  <c r="AZ37" i="20"/>
  <c r="BC37" i="20" s="1"/>
  <c r="AY37" i="20"/>
  <c r="BP36" i="20"/>
  <c r="BO36" i="20"/>
  <c r="BN36" i="20"/>
  <c r="BM36" i="20"/>
  <c r="BL36" i="20"/>
  <c r="BB36" i="20"/>
  <c r="BD36" i="20" s="1"/>
  <c r="BA36" i="20"/>
  <c r="AZ36" i="20"/>
  <c r="BC36" i="20" s="1"/>
  <c r="AY36" i="20"/>
  <c r="BP35" i="20"/>
  <c r="BO35" i="20"/>
  <c r="BN35" i="20"/>
  <c r="BM35" i="20"/>
  <c r="BL35" i="20"/>
  <c r="BQ35" i="20" s="1"/>
  <c r="AO35" i="20" s="1"/>
  <c r="BB35" i="20"/>
  <c r="BD35" i="20" s="1"/>
  <c r="BA35" i="20"/>
  <c r="AZ35" i="20"/>
  <c r="BC35" i="20" s="1"/>
  <c r="AY35" i="20"/>
  <c r="AR35" i="20"/>
  <c r="BP34" i="20"/>
  <c r="BO34" i="20"/>
  <c r="BN34" i="20"/>
  <c r="BM34" i="20"/>
  <c r="BL34" i="20"/>
  <c r="BD34" i="20"/>
  <c r="BB34" i="20"/>
  <c r="BA34" i="20"/>
  <c r="AZ34" i="20"/>
  <c r="AY34" i="20"/>
  <c r="BP33" i="20"/>
  <c r="BO33" i="20"/>
  <c r="BN33" i="20"/>
  <c r="BM33" i="20"/>
  <c r="BL33" i="20"/>
  <c r="BD33" i="20"/>
  <c r="BB33" i="20"/>
  <c r="BA33" i="20"/>
  <c r="AZ33" i="20"/>
  <c r="AY33" i="20"/>
  <c r="BP32" i="20"/>
  <c r="BO32" i="20"/>
  <c r="BN32" i="20"/>
  <c r="BM32" i="20"/>
  <c r="BL32" i="20"/>
  <c r="BD32" i="20"/>
  <c r="BB32" i="20"/>
  <c r="BA32" i="20"/>
  <c r="AZ32" i="20"/>
  <c r="AY32" i="20"/>
  <c r="BP31" i="20"/>
  <c r="BO31" i="20"/>
  <c r="BN31" i="20"/>
  <c r="BM31" i="20"/>
  <c r="BL31" i="20"/>
  <c r="BD31" i="20"/>
  <c r="BB31" i="20"/>
  <c r="BA31" i="20"/>
  <c r="AZ31" i="20"/>
  <c r="AY31" i="20"/>
  <c r="BP30" i="20"/>
  <c r="BO30" i="20"/>
  <c r="BN30" i="20"/>
  <c r="BM30" i="20"/>
  <c r="BL30" i="20"/>
  <c r="BB30" i="20"/>
  <c r="BD30" i="20" s="1"/>
  <c r="BA30" i="20"/>
  <c r="AZ30" i="20"/>
  <c r="BC30" i="20" s="1"/>
  <c r="AY30" i="20"/>
  <c r="BP29" i="20"/>
  <c r="BO29" i="20"/>
  <c r="BN29" i="20"/>
  <c r="BM29" i="20"/>
  <c r="BL29" i="20"/>
  <c r="BB29" i="20"/>
  <c r="BD29" i="20" s="1"/>
  <c r="BA29" i="20"/>
  <c r="AZ29" i="20"/>
  <c r="BC29" i="20" s="1"/>
  <c r="AY29" i="20"/>
  <c r="BP28" i="20"/>
  <c r="BO28" i="20"/>
  <c r="BN28" i="20"/>
  <c r="BM28" i="20"/>
  <c r="BL28" i="20"/>
  <c r="BB28" i="20"/>
  <c r="BD28" i="20" s="1"/>
  <c r="BA28" i="20"/>
  <c r="AZ28" i="20"/>
  <c r="BC28" i="20" s="1"/>
  <c r="AY28" i="20"/>
  <c r="BP27" i="20"/>
  <c r="BO27" i="20"/>
  <c r="BN27" i="20"/>
  <c r="BM27" i="20"/>
  <c r="BL27" i="20"/>
  <c r="BQ27" i="20" s="1"/>
  <c r="AR27" i="20" s="1"/>
  <c r="BB27" i="20"/>
  <c r="BD27" i="20" s="1"/>
  <c r="BA27" i="20"/>
  <c r="AZ27" i="20"/>
  <c r="BC27" i="20" s="1"/>
  <c r="AY27" i="20"/>
  <c r="BP26" i="20"/>
  <c r="BO26" i="20"/>
  <c r="BN26" i="20"/>
  <c r="BM26" i="20"/>
  <c r="BL26" i="20"/>
  <c r="BD26" i="20"/>
  <c r="BC26" i="20"/>
  <c r="BB26" i="20"/>
  <c r="BA26" i="20"/>
  <c r="AZ26" i="20"/>
  <c r="AY26" i="20"/>
  <c r="BP25" i="20"/>
  <c r="BO25" i="20"/>
  <c r="BN25" i="20"/>
  <c r="BM25" i="20"/>
  <c r="BQ25" i="20" s="1"/>
  <c r="BL25" i="20"/>
  <c r="BB25" i="20"/>
  <c r="BD25" i="20" s="1"/>
  <c r="BA25" i="20"/>
  <c r="BC25" i="20" s="1"/>
  <c r="AZ25" i="20"/>
  <c r="AY25" i="20"/>
  <c r="BP24" i="20"/>
  <c r="BO24" i="20"/>
  <c r="BN24" i="20"/>
  <c r="BM24" i="20"/>
  <c r="BL24" i="20"/>
  <c r="BD24" i="20"/>
  <c r="BB24" i="20"/>
  <c r="BA24" i="20"/>
  <c r="AZ24" i="20"/>
  <c r="AY24" i="20"/>
  <c r="BP23" i="20"/>
  <c r="BO23" i="20"/>
  <c r="BN23" i="20"/>
  <c r="BM23" i="20"/>
  <c r="BQ23" i="20" s="1"/>
  <c r="BL23" i="20"/>
  <c r="BD23" i="20"/>
  <c r="BB23" i="20"/>
  <c r="BA23" i="20"/>
  <c r="AZ23" i="20"/>
  <c r="AY23" i="20"/>
  <c r="BP22" i="20"/>
  <c r="BO22" i="20"/>
  <c r="BN22" i="20"/>
  <c r="BM22" i="20"/>
  <c r="BL22" i="20"/>
  <c r="BD22" i="20"/>
  <c r="BB22" i="20"/>
  <c r="BA22" i="20"/>
  <c r="AZ22" i="20"/>
  <c r="AY22" i="20"/>
  <c r="BP21" i="20"/>
  <c r="BO21" i="20"/>
  <c r="BN21" i="20"/>
  <c r="BM21" i="20"/>
  <c r="BL21" i="20"/>
  <c r="BB21" i="20"/>
  <c r="BD21" i="20" s="1"/>
  <c r="BA21" i="20"/>
  <c r="AZ21" i="20"/>
  <c r="AY21" i="20"/>
  <c r="BP20" i="20"/>
  <c r="BO20" i="20"/>
  <c r="BN20" i="20"/>
  <c r="BM20" i="20"/>
  <c r="BL20" i="20"/>
  <c r="BB20" i="20"/>
  <c r="BD20" i="20" s="1"/>
  <c r="BA20" i="20"/>
  <c r="AZ20" i="20"/>
  <c r="AY20" i="20"/>
  <c r="BP19" i="20"/>
  <c r="BO19" i="20"/>
  <c r="BN19" i="20"/>
  <c r="BM19" i="20"/>
  <c r="BL19" i="20"/>
  <c r="BB19" i="20"/>
  <c r="BD19" i="20" s="1"/>
  <c r="BA19" i="20"/>
  <c r="AZ19" i="20"/>
  <c r="AY19" i="20"/>
  <c r="AB19" i="20"/>
  <c r="AB20" i="20" s="1"/>
  <c r="AB21" i="20" s="1"/>
  <c r="AB22" i="20" s="1"/>
  <c r="AB23" i="20" s="1"/>
  <c r="AB24" i="20" s="1"/>
  <c r="AB25" i="20" s="1"/>
  <c r="AB28" i="20" s="1"/>
  <c r="AB29" i="20" s="1"/>
  <c r="AB30" i="20" s="1"/>
  <c r="AB31" i="20" s="1"/>
  <c r="AB32" i="20" s="1"/>
  <c r="AB33" i="20" s="1"/>
  <c r="AB34" i="20" s="1"/>
  <c r="AB35" i="20" s="1"/>
  <c r="AB36" i="20" s="1"/>
  <c r="AB37" i="20" s="1"/>
  <c r="AB38" i="20" s="1"/>
  <c r="AB39" i="20" s="1"/>
  <c r="AB40" i="20" s="1"/>
  <c r="AB41" i="20" s="1"/>
  <c r="AB42" i="20" s="1"/>
  <c r="AB43" i="20" s="1"/>
  <c r="BP18" i="20"/>
  <c r="BO18" i="20"/>
  <c r="BN18" i="20"/>
  <c r="BM18" i="20"/>
  <c r="BL18" i="20"/>
  <c r="BB18" i="20"/>
  <c r="BD18" i="20" s="1"/>
  <c r="BA18" i="20"/>
  <c r="AZ18" i="20"/>
  <c r="AY18" i="20"/>
  <c r="BP17" i="20"/>
  <c r="BO17" i="20"/>
  <c r="BN17" i="20"/>
  <c r="BM17" i="20"/>
  <c r="BL17" i="20"/>
  <c r="BB17" i="20"/>
  <c r="BD17" i="20" s="1"/>
  <c r="BA17" i="20"/>
  <c r="AZ17" i="20"/>
  <c r="AY17" i="20"/>
  <c r="BP16" i="20"/>
  <c r="BO16" i="20"/>
  <c r="BN16" i="20"/>
  <c r="BM16" i="20"/>
  <c r="BL16" i="20"/>
  <c r="BB16" i="20"/>
  <c r="BD16" i="20" s="1"/>
  <c r="BA16" i="20"/>
  <c r="AZ16" i="20"/>
  <c r="AY16" i="20"/>
  <c r="BP15" i="20"/>
  <c r="BO15" i="20"/>
  <c r="BN15" i="20"/>
  <c r="BM15" i="20"/>
  <c r="BL15" i="20"/>
  <c r="BB15" i="20"/>
  <c r="BD15" i="20" s="1"/>
  <c r="BA15" i="20"/>
  <c r="AZ15" i="20"/>
  <c r="AY15" i="20"/>
  <c r="BP14" i="20"/>
  <c r="BO14" i="20"/>
  <c r="BN14" i="20"/>
  <c r="BM14" i="20"/>
  <c r="BL14" i="20"/>
  <c r="BB14" i="20"/>
  <c r="BD14" i="20" s="1"/>
  <c r="BA14" i="20"/>
  <c r="AZ14" i="20"/>
  <c r="AY14" i="20"/>
  <c r="AP14" i="20"/>
  <c r="AP15" i="20" s="1"/>
  <c r="AP16" i="20" s="1"/>
  <c r="AP17" i="20" s="1"/>
  <c r="AP18" i="20" s="1"/>
  <c r="AP19" i="20" s="1"/>
  <c r="AP20" i="20" s="1"/>
  <c r="AP21" i="20" s="1"/>
  <c r="AP22" i="20" s="1"/>
  <c r="AP23" i="20" s="1"/>
  <c r="AP24" i="20" s="1"/>
  <c r="AP25" i="20" s="1"/>
  <c r="AP26" i="20" s="1"/>
  <c r="AP27" i="20" s="1"/>
  <c r="AP28" i="20" s="1"/>
  <c r="AP29" i="20" s="1"/>
  <c r="AP30" i="20" s="1"/>
  <c r="AP31" i="20" s="1"/>
  <c r="AP32" i="20" s="1"/>
  <c r="AP33" i="20" s="1"/>
  <c r="AP34" i="20" s="1"/>
  <c r="AP35" i="20" s="1"/>
  <c r="AP36" i="20" s="1"/>
  <c r="AP37" i="20" s="1"/>
  <c r="AP38" i="20" s="1"/>
  <c r="AP39" i="20" s="1"/>
  <c r="AP40" i="20" s="1"/>
  <c r="AP41" i="20" s="1"/>
  <c r="AP42" i="20" s="1"/>
  <c r="AP43" i="20" s="1"/>
  <c r="AP44" i="20" s="1"/>
  <c r="AP45" i="20" s="1"/>
  <c r="AP46" i="20" s="1"/>
  <c r="AB14" i="20"/>
  <c r="AB15" i="20" s="1"/>
  <c r="AB16" i="20" s="1"/>
  <c r="AB17" i="20" s="1"/>
  <c r="BP13" i="20"/>
  <c r="BO13" i="20"/>
  <c r="BN13" i="20"/>
  <c r="BM13" i="20"/>
  <c r="BL13" i="20"/>
  <c r="BB13" i="20"/>
  <c r="BD13" i="20" s="1"/>
  <c r="BA13" i="20"/>
  <c r="AZ13" i="20"/>
  <c r="AY13" i="20"/>
  <c r="BP11" i="20"/>
  <c r="BO11" i="20"/>
  <c r="BN11" i="20"/>
  <c r="BM11" i="20"/>
  <c r="BL11" i="20"/>
  <c r="BP10" i="20"/>
  <c r="BO10" i="20"/>
  <c r="BN10" i="20"/>
  <c r="BM10" i="20"/>
  <c r="BL10" i="20"/>
  <c r="Z8" i="20"/>
  <c r="J8" i="20"/>
  <c r="AC7" i="20"/>
  <c r="F25" i="20" s="1"/>
  <c r="G7" i="20"/>
  <c r="F10" i="20" s="1"/>
  <c r="D6" i="20"/>
  <c r="D3" i="20"/>
  <c r="BP46" i="21"/>
  <c r="BO46" i="21"/>
  <c r="BN46" i="21"/>
  <c r="BM46" i="21"/>
  <c r="BL46" i="21"/>
  <c r="BB46" i="21"/>
  <c r="BD46" i="21" s="1"/>
  <c r="BA46" i="21"/>
  <c r="AZ46" i="21"/>
  <c r="AY46" i="21"/>
  <c r="BP45" i="21"/>
  <c r="BO45" i="21"/>
  <c r="BN45" i="21"/>
  <c r="BM45" i="21"/>
  <c r="BL45" i="21"/>
  <c r="BC45" i="21"/>
  <c r="BB45" i="21"/>
  <c r="BD45" i="21" s="1"/>
  <c r="BA45" i="21"/>
  <c r="AZ45" i="21"/>
  <c r="AY45" i="21"/>
  <c r="BP44" i="21"/>
  <c r="BO44" i="21"/>
  <c r="BN44" i="21"/>
  <c r="BM44" i="21"/>
  <c r="BQ44" i="21" s="1"/>
  <c r="BL44" i="21"/>
  <c r="BB44" i="21"/>
  <c r="BD44" i="21" s="1"/>
  <c r="BA44" i="21"/>
  <c r="BC44" i="21" s="1"/>
  <c r="AZ44" i="21"/>
  <c r="AY44" i="21"/>
  <c r="BP43" i="21"/>
  <c r="BO43" i="21"/>
  <c r="BN43" i="21"/>
  <c r="BM43" i="21"/>
  <c r="BL43" i="21"/>
  <c r="BC43" i="21"/>
  <c r="BB43" i="21"/>
  <c r="BD43" i="21" s="1"/>
  <c r="BA43" i="21"/>
  <c r="AZ43" i="21"/>
  <c r="AY43" i="21"/>
  <c r="BP42" i="21"/>
  <c r="BO42" i="21"/>
  <c r="BN42" i="21"/>
  <c r="BM42" i="21"/>
  <c r="BQ42" i="21" s="1"/>
  <c r="BL42" i="21"/>
  <c r="BB42" i="21"/>
  <c r="BD42" i="21" s="1"/>
  <c r="BA42" i="21"/>
  <c r="BC42" i="21" s="1"/>
  <c r="AZ42" i="21"/>
  <c r="AY42" i="21"/>
  <c r="BP41" i="21"/>
  <c r="BO41" i="21"/>
  <c r="BN41" i="21"/>
  <c r="BM41" i="21"/>
  <c r="BL41" i="21"/>
  <c r="BC41" i="21"/>
  <c r="BB41" i="21"/>
  <c r="BD41" i="21" s="1"/>
  <c r="BA41" i="21"/>
  <c r="AZ41" i="21"/>
  <c r="AY41" i="21"/>
  <c r="BP40" i="21"/>
  <c r="BO40" i="21"/>
  <c r="BN40" i="21"/>
  <c r="BM40" i="21"/>
  <c r="BQ40" i="21" s="1"/>
  <c r="BL40" i="21"/>
  <c r="BB40" i="21"/>
  <c r="BD40" i="21" s="1"/>
  <c r="BA40" i="21"/>
  <c r="BC40" i="21" s="1"/>
  <c r="AZ40" i="21"/>
  <c r="AY40" i="21"/>
  <c r="BP39" i="21"/>
  <c r="BO39" i="21"/>
  <c r="BN39" i="21"/>
  <c r="BM39" i="21"/>
  <c r="BL39" i="21"/>
  <c r="BD39" i="21"/>
  <c r="BB39" i="21"/>
  <c r="BA39" i="21"/>
  <c r="AZ39" i="21"/>
  <c r="AY39" i="21"/>
  <c r="BP38" i="21"/>
  <c r="BO38" i="21"/>
  <c r="BN38" i="21"/>
  <c r="BM38" i="21"/>
  <c r="BL38" i="21"/>
  <c r="BD38" i="21"/>
  <c r="BB38" i="21"/>
  <c r="BA38" i="21"/>
  <c r="AZ38" i="21"/>
  <c r="AY38" i="21"/>
  <c r="BP37" i="21"/>
  <c r="BO37" i="21"/>
  <c r="BN37" i="21"/>
  <c r="BM37" i="21"/>
  <c r="BL37" i="21"/>
  <c r="BD37" i="21"/>
  <c r="BB37" i="21"/>
  <c r="BA37" i="21"/>
  <c r="AZ37" i="21"/>
  <c r="AY37" i="21"/>
  <c r="BP36" i="21"/>
  <c r="BO36" i="21"/>
  <c r="BN36" i="21"/>
  <c r="BM36" i="21"/>
  <c r="BL36" i="21"/>
  <c r="BD36" i="21"/>
  <c r="BB36" i="21"/>
  <c r="BA36" i="21"/>
  <c r="AZ36" i="21"/>
  <c r="AY36" i="21"/>
  <c r="BP35" i="21"/>
  <c r="BO35" i="21"/>
  <c r="BN35" i="21"/>
  <c r="BM35" i="21"/>
  <c r="BL35" i="21"/>
  <c r="BD35" i="21"/>
  <c r="BB35" i="21"/>
  <c r="BA35" i="21"/>
  <c r="AZ35" i="21"/>
  <c r="AY35" i="21"/>
  <c r="BP34" i="21"/>
  <c r="BO34" i="21"/>
  <c r="BN34" i="21"/>
  <c r="BM34" i="21"/>
  <c r="BL34" i="21"/>
  <c r="BD34" i="21"/>
  <c r="BB34" i="21"/>
  <c r="BA34" i="21"/>
  <c r="AZ34" i="21"/>
  <c r="AY34" i="21"/>
  <c r="BP33" i="21"/>
  <c r="BO33" i="21"/>
  <c r="BN33" i="21"/>
  <c r="BM33" i="21"/>
  <c r="BL33" i="21"/>
  <c r="BD33" i="21"/>
  <c r="BB33" i="21"/>
  <c r="BA33" i="21"/>
  <c r="AZ33" i="21"/>
  <c r="AY33" i="21"/>
  <c r="BP32" i="21"/>
  <c r="BO32" i="21"/>
  <c r="BN32" i="21"/>
  <c r="BM32" i="21"/>
  <c r="BL32" i="21"/>
  <c r="BD32" i="21"/>
  <c r="BB32" i="21"/>
  <c r="BA32" i="21"/>
  <c r="AZ32" i="21"/>
  <c r="AY32" i="21"/>
  <c r="BP31" i="21"/>
  <c r="BO31" i="21"/>
  <c r="BN31" i="21"/>
  <c r="BM31" i="21"/>
  <c r="BL31" i="21"/>
  <c r="BD31" i="21"/>
  <c r="BB31" i="21"/>
  <c r="BA31" i="21"/>
  <c r="AZ31" i="21"/>
  <c r="AY31" i="21"/>
  <c r="BP30" i="21"/>
  <c r="BO30" i="21"/>
  <c r="BN30" i="21"/>
  <c r="BM30" i="21"/>
  <c r="BL30" i="21"/>
  <c r="BD30" i="21"/>
  <c r="BB30" i="21"/>
  <c r="BA30" i="21"/>
  <c r="AZ30" i="21"/>
  <c r="AY30" i="21"/>
  <c r="BP29" i="21"/>
  <c r="BO29" i="21"/>
  <c r="BN29" i="21"/>
  <c r="BM29" i="21"/>
  <c r="BL29" i="21"/>
  <c r="BD29" i="21"/>
  <c r="BB29" i="21"/>
  <c r="BA29" i="21"/>
  <c r="AZ29" i="21"/>
  <c r="AY29" i="21"/>
  <c r="BP28" i="21"/>
  <c r="BO28" i="21"/>
  <c r="BN28" i="21"/>
  <c r="BM28" i="21"/>
  <c r="BL28" i="21"/>
  <c r="BD28" i="21"/>
  <c r="BB28" i="21"/>
  <c r="BA28" i="21"/>
  <c r="AZ28" i="21"/>
  <c r="AY28" i="21"/>
  <c r="BP27" i="21"/>
  <c r="BO27" i="21"/>
  <c r="BN27" i="21"/>
  <c r="BM27" i="21"/>
  <c r="BL27" i="21"/>
  <c r="BD27" i="21"/>
  <c r="BB27" i="21"/>
  <c r="BA27" i="21"/>
  <c r="AZ27" i="21"/>
  <c r="AY27" i="21"/>
  <c r="BP26" i="21"/>
  <c r="BO26" i="21"/>
  <c r="BN26" i="21"/>
  <c r="BM26" i="21"/>
  <c r="BL26" i="21"/>
  <c r="BD26" i="21"/>
  <c r="BB26" i="21"/>
  <c r="BA26" i="21"/>
  <c r="AZ26" i="21"/>
  <c r="BC26" i="21" s="1"/>
  <c r="AY26" i="21"/>
  <c r="BP25" i="21"/>
  <c r="BO25" i="21"/>
  <c r="BN25" i="21"/>
  <c r="BM25" i="21"/>
  <c r="BL25" i="21"/>
  <c r="BB25" i="21"/>
  <c r="BD25" i="21" s="1"/>
  <c r="BA25" i="21"/>
  <c r="AZ25" i="21"/>
  <c r="BC25" i="21" s="1"/>
  <c r="AY25" i="21"/>
  <c r="BP24" i="21"/>
  <c r="BO24" i="21"/>
  <c r="BN24" i="21"/>
  <c r="BM24" i="21"/>
  <c r="BL24" i="21"/>
  <c r="BD24" i="21"/>
  <c r="BB24" i="21"/>
  <c r="BA24" i="21"/>
  <c r="BC24" i="21" s="1"/>
  <c r="AZ24" i="21"/>
  <c r="AY24" i="21"/>
  <c r="BP23" i="21"/>
  <c r="BO23" i="21"/>
  <c r="BN23" i="21"/>
  <c r="BM23" i="21"/>
  <c r="BL23" i="21"/>
  <c r="BB23" i="21"/>
  <c r="BD23" i="21" s="1"/>
  <c r="BA23" i="21"/>
  <c r="AZ23" i="21"/>
  <c r="AY23" i="21"/>
  <c r="BP22" i="21"/>
  <c r="BO22" i="21"/>
  <c r="BN22" i="21"/>
  <c r="BM22" i="21"/>
  <c r="BL22" i="21"/>
  <c r="BB22" i="21"/>
  <c r="BD22" i="21" s="1"/>
  <c r="BA22" i="21"/>
  <c r="AZ22" i="21"/>
  <c r="AY22" i="21"/>
  <c r="BP21" i="21"/>
  <c r="BO21" i="21"/>
  <c r="BN21" i="21"/>
  <c r="BM21" i="21"/>
  <c r="BL21" i="21"/>
  <c r="BB21" i="21"/>
  <c r="BD21" i="21" s="1"/>
  <c r="BA21" i="21"/>
  <c r="AZ21" i="21"/>
  <c r="AY21" i="21"/>
  <c r="BP20" i="21"/>
  <c r="BO20" i="21"/>
  <c r="BN20" i="21"/>
  <c r="BM20" i="21"/>
  <c r="BL20" i="21"/>
  <c r="BB20" i="21"/>
  <c r="BD20" i="21" s="1"/>
  <c r="BA20" i="21"/>
  <c r="AZ20" i="21"/>
  <c r="AY20" i="21"/>
  <c r="BP19" i="21"/>
  <c r="BO19" i="21"/>
  <c r="BN19" i="21"/>
  <c r="BM19" i="21"/>
  <c r="BL19" i="21"/>
  <c r="BB19" i="21"/>
  <c r="BD19" i="21" s="1"/>
  <c r="BA19" i="21"/>
  <c r="AZ19" i="21"/>
  <c r="AY19" i="21"/>
  <c r="AB19" i="21"/>
  <c r="AB20" i="21" s="1"/>
  <c r="AB21" i="21" s="1"/>
  <c r="AB22" i="21" s="1"/>
  <c r="AB23" i="21" s="1"/>
  <c r="AB24" i="21" s="1"/>
  <c r="AB25" i="21" s="1"/>
  <c r="AB28" i="21" s="1"/>
  <c r="AB29" i="21" s="1"/>
  <c r="AB30" i="21" s="1"/>
  <c r="AB31" i="21" s="1"/>
  <c r="AB32" i="21" s="1"/>
  <c r="AB33" i="21" s="1"/>
  <c r="AB34" i="21" s="1"/>
  <c r="AB35" i="21" s="1"/>
  <c r="AB36" i="21" s="1"/>
  <c r="AB37" i="21" s="1"/>
  <c r="AB38" i="21" s="1"/>
  <c r="AB39" i="21" s="1"/>
  <c r="AB40" i="21" s="1"/>
  <c r="AB41" i="21" s="1"/>
  <c r="AB42" i="21" s="1"/>
  <c r="AB43" i="21" s="1"/>
  <c r="BP18" i="21"/>
  <c r="BO18" i="21"/>
  <c r="BN18" i="21"/>
  <c r="BM18" i="21"/>
  <c r="BL18" i="21"/>
  <c r="BB18" i="21"/>
  <c r="BD18" i="21" s="1"/>
  <c r="BA18" i="21"/>
  <c r="AZ18" i="21"/>
  <c r="BC18" i="21" s="1"/>
  <c r="AY18" i="21"/>
  <c r="BP17" i="21"/>
  <c r="BO17" i="21"/>
  <c r="BN17" i="21"/>
  <c r="BM17" i="21"/>
  <c r="BL17" i="21"/>
  <c r="BB17" i="21"/>
  <c r="BD17" i="21" s="1"/>
  <c r="BA17" i="21"/>
  <c r="AZ17" i="21"/>
  <c r="AY17" i="21"/>
  <c r="BP16" i="21"/>
  <c r="BO16" i="21"/>
  <c r="BN16" i="21"/>
  <c r="BM16" i="21"/>
  <c r="BL16" i="21"/>
  <c r="BB16" i="21"/>
  <c r="BD16" i="21" s="1"/>
  <c r="BA16" i="21"/>
  <c r="AZ16" i="21"/>
  <c r="AY16" i="21"/>
  <c r="BP15" i="21"/>
  <c r="BO15" i="21"/>
  <c r="BN15" i="21"/>
  <c r="BM15" i="21"/>
  <c r="BL15" i="21"/>
  <c r="BB15" i="21"/>
  <c r="BD15" i="21" s="1"/>
  <c r="BA15" i="21"/>
  <c r="AZ15" i="21"/>
  <c r="AY15" i="21"/>
  <c r="BP14" i="21"/>
  <c r="BO14" i="21"/>
  <c r="BN14" i="21"/>
  <c r="BM14" i="21"/>
  <c r="BL14" i="21"/>
  <c r="BB14" i="21"/>
  <c r="BD14" i="21" s="1"/>
  <c r="BA14" i="21"/>
  <c r="AZ14" i="21"/>
  <c r="AY14" i="21"/>
  <c r="AP14" i="21"/>
  <c r="AP15" i="21" s="1"/>
  <c r="AP16" i="21" s="1"/>
  <c r="AP17" i="21" s="1"/>
  <c r="AP18" i="21" s="1"/>
  <c r="AP19" i="21" s="1"/>
  <c r="AP20" i="21" s="1"/>
  <c r="AP21" i="21" s="1"/>
  <c r="AP22" i="21" s="1"/>
  <c r="AP23" i="21" s="1"/>
  <c r="AP24" i="21" s="1"/>
  <c r="AP25" i="21" s="1"/>
  <c r="AP26" i="21" s="1"/>
  <c r="AP27" i="21" s="1"/>
  <c r="AP28" i="21" s="1"/>
  <c r="AP29" i="21" s="1"/>
  <c r="AP30" i="21" s="1"/>
  <c r="AP31" i="21" s="1"/>
  <c r="AP32" i="21" s="1"/>
  <c r="AP33" i="21" s="1"/>
  <c r="AP34" i="21" s="1"/>
  <c r="AP35" i="21" s="1"/>
  <c r="AP36" i="21" s="1"/>
  <c r="AP37" i="21" s="1"/>
  <c r="AP38" i="21" s="1"/>
  <c r="AP39" i="21" s="1"/>
  <c r="AP40" i="21" s="1"/>
  <c r="AP41" i="21" s="1"/>
  <c r="AP42" i="21" s="1"/>
  <c r="AP43" i="21" s="1"/>
  <c r="AP44" i="21" s="1"/>
  <c r="AP45" i="21" s="1"/>
  <c r="AP46" i="21" s="1"/>
  <c r="AB14" i="21"/>
  <c r="AB15" i="21" s="1"/>
  <c r="AB16" i="21" s="1"/>
  <c r="AB17" i="21" s="1"/>
  <c r="BP13" i="21"/>
  <c r="BO13" i="21"/>
  <c r="BN13" i="21"/>
  <c r="BM13" i="21"/>
  <c r="BL13" i="21"/>
  <c r="BB13" i="21"/>
  <c r="BD13" i="21" s="1"/>
  <c r="BA13" i="21"/>
  <c r="AZ13" i="21"/>
  <c r="AY13" i="21"/>
  <c r="BP11" i="21"/>
  <c r="BO11" i="21"/>
  <c r="BN11" i="21"/>
  <c r="BM11" i="21"/>
  <c r="BL11" i="21"/>
  <c r="BP10" i="21"/>
  <c r="BO10" i="21"/>
  <c r="BN10" i="21"/>
  <c r="BM10" i="21"/>
  <c r="BL10" i="21"/>
  <c r="Z8" i="21"/>
  <c r="J8" i="21"/>
  <c r="AC7" i="21"/>
  <c r="F25" i="21" s="1"/>
  <c r="G7" i="21"/>
  <c r="F10" i="21" s="1"/>
  <c r="D6" i="21"/>
  <c r="D3" i="21"/>
  <c r="AR18" i="30" l="1"/>
  <c r="AO17" i="30"/>
  <c r="AO15" i="30"/>
  <c r="BC17" i="9"/>
  <c r="BC29" i="10"/>
  <c r="BC28" i="10"/>
  <c r="BQ27" i="10"/>
  <c r="AR27" i="10" s="1"/>
  <c r="BC21" i="11"/>
  <c r="BC21" i="13"/>
  <c r="BC16" i="14"/>
  <c r="BQ17" i="17"/>
  <c r="BC24" i="18"/>
  <c r="BQ21" i="18"/>
  <c r="BC20" i="18"/>
  <c r="BC19" i="19"/>
  <c r="BC17" i="21"/>
  <c r="BC14" i="21"/>
  <c r="A461" i="24"/>
  <c r="C460" i="24"/>
  <c r="F460" i="24" s="1"/>
  <c r="A450" i="24"/>
  <c r="C449" i="24"/>
  <c r="F449" i="24" s="1"/>
  <c r="BC13" i="8"/>
  <c r="BQ13" i="16"/>
  <c r="AR13" i="16" s="1"/>
  <c r="BC17" i="19"/>
  <c r="BQ13" i="21"/>
  <c r="AO16" i="30"/>
  <c r="AO14" i="30"/>
  <c r="BC22" i="9"/>
  <c r="BQ18" i="10"/>
  <c r="BQ13" i="10"/>
  <c r="BQ27" i="13"/>
  <c r="AR27" i="13" s="1"/>
  <c r="BQ26" i="13"/>
  <c r="AR26" i="13" s="1"/>
  <c r="BC14" i="18"/>
  <c r="BQ21" i="20"/>
  <c r="AR21" i="20" s="1"/>
  <c r="BQ20" i="21"/>
  <c r="AR20" i="21" s="1"/>
  <c r="E19" i="28"/>
  <c r="B19" i="28"/>
  <c r="AT19" i="28" s="1"/>
  <c r="N24" i="28"/>
  <c r="E18" i="28"/>
  <c r="I24" i="28"/>
  <c r="B18" i="28"/>
  <c r="AT18" i="28" s="1"/>
  <c r="E17" i="28"/>
  <c r="B17" i="28"/>
  <c r="AT17" i="28" s="1"/>
  <c r="E16" i="28"/>
  <c r="B16" i="28"/>
  <c r="AT16" i="28" s="1"/>
  <c r="E23" i="28"/>
  <c r="E15" i="28"/>
  <c r="B23" i="28"/>
  <c r="AT23" i="28" s="1"/>
  <c r="B15" i="28"/>
  <c r="AT15" i="28" s="1"/>
  <c r="E22" i="28"/>
  <c r="E14" i="28"/>
  <c r="B22" i="28"/>
  <c r="AT22" i="28" s="1"/>
  <c r="B14" i="28"/>
  <c r="AT14" i="28" s="1"/>
  <c r="E21" i="28"/>
  <c r="B21" i="28"/>
  <c r="AT21" i="28" s="1"/>
  <c r="E20" i="28"/>
  <c r="B20" i="28"/>
  <c r="AT20" i="28" s="1"/>
  <c r="N40" i="28"/>
  <c r="E33" i="28"/>
  <c r="I40" i="28"/>
  <c r="B33" i="28"/>
  <c r="AT33" i="28" s="1"/>
  <c r="E32" i="28"/>
  <c r="B32" i="28"/>
  <c r="AT32" i="28" s="1"/>
  <c r="E39" i="28"/>
  <c r="E31" i="28"/>
  <c r="B39" i="28"/>
  <c r="AT39" i="28" s="1"/>
  <c r="B31" i="28"/>
  <c r="AT31" i="28" s="1"/>
  <c r="E38" i="28"/>
  <c r="E30" i="28"/>
  <c r="B38" i="28"/>
  <c r="AT38" i="28" s="1"/>
  <c r="B30" i="28"/>
  <c r="AT30" i="28" s="1"/>
  <c r="E37" i="28"/>
  <c r="B37" i="28"/>
  <c r="AT37" i="28" s="1"/>
  <c r="E36" i="28"/>
  <c r="B36" i="28"/>
  <c r="AT36" i="28" s="1"/>
  <c r="E35" i="28"/>
  <c r="B35" i="28"/>
  <c r="AT35" i="28" s="1"/>
  <c r="E34" i="28"/>
  <c r="B34" i="28"/>
  <c r="AT34" i="28" s="1"/>
  <c r="Y33" i="33"/>
  <c r="X33" i="33"/>
  <c r="X14" i="35"/>
  <c r="Y14" i="35"/>
  <c r="X31" i="33"/>
  <c r="Y31" i="33"/>
  <c r="W36" i="32"/>
  <c r="X36" i="32"/>
  <c r="Y36" i="33"/>
  <c r="X36" i="33"/>
  <c r="Y34" i="32"/>
  <c r="X32" i="34"/>
  <c r="X33" i="32"/>
  <c r="W32" i="34"/>
  <c r="Y21" i="34"/>
  <c r="Y33" i="32"/>
  <c r="W18" i="34"/>
  <c r="W31" i="35"/>
  <c r="Y18" i="34"/>
  <c r="X30" i="32"/>
  <c r="Y31" i="35"/>
  <c r="X38" i="32"/>
  <c r="W38" i="32"/>
  <c r="W39" i="33"/>
  <c r="X39" i="33"/>
  <c r="Y30" i="32"/>
  <c r="X30" i="33"/>
  <c r="W30" i="33"/>
  <c r="W23" i="34"/>
  <c r="W16" i="34"/>
  <c r="X23" i="34"/>
  <c r="W37" i="35"/>
  <c r="Y37" i="35"/>
  <c r="X21" i="34"/>
  <c r="X19" i="32"/>
  <c r="Y19" i="35"/>
  <c r="X33" i="34"/>
  <c r="Y19" i="32"/>
  <c r="W33" i="34"/>
  <c r="W38" i="34"/>
  <c r="W34" i="33"/>
  <c r="W23" i="35"/>
  <c r="X17" i="33"/>
  <c r="Y16" i="34"/>
  <c r="Y17" i="33"/>
  <c r="W31" i="32"/>
  <c r="Y38" i="34"/>
  <c r="Y19" i="34"/>
  <c r="X31" i="32"/>
  <c r="Y20" i="32"/>
  <c r="X34" i="32"/>
  <c r="X34" i="33"/>
  <c r="X23" i="35"/>
  <c r="X19" i="35"/>
  <c r="X19" i="34"/>
  <c r="Y18" i="33"/>
  <c r="X18" i="33"/>
  <c r="X35" i="33"/>
  <c r="W35" i="33"/>
  <c r="Y22" i="34"/>
  <c r="W20" i="32"/>
  <c r="Y38" i="35"/>
  <c r="X22" i="34"/>
  <c r="AT36" i="30"/>
  <c r="V36" i="30" s="1"/>
  <c r="D349" i="24" s="1"/>
  <c r="G349" i="24" s="1"/>
  <c r="B349" i="24"/>
  <c r="AT30" i="30"/>
  <c r="AU30" i="30" s="1"/>
  <c r="B343" i="24"/>
  <c r="F343" i="24" s="1"/>
  <c r="AT21" i="30"/>
  <c r="V21" i="30" s="1"/>
  <c r="D339" i="24" s="1"/>
  <c r="G339" i="24" s="1"/>
  <c r="B339" i="24"/>
  <c r="AT37" i="30"/>
  <c r="AU37" i="30" s="1"/>
  <c r="B350" i="24"/>
  <c r="AT33" i="30"/>
  <c r="V33" i="30" s="1"/>
  <c r="D346" i="24" s="1"/>
  <c r="G346" i="24" s="1"/>
  <c r="B346" i="24"/>
  <c r="F346" i="24" s="1"/>
  <c r="AT14" i="30"/>
  <c r="V14" i="30" s="1"/>
  <c r="D332" i="24" s="1"/>
  <c r="G332" i="24" s="1"/>
  <c r="B332" i="24"/>
  <c r="F332" i="24" s="1"/>
  <c r="A371" i="24"/>
  <c r="C370" i="24"/>
  <c r="F370" i="24" s="1"/>
  <c r="AT15" i="30"/>
  <c r="V15" i="30" s="1"/>
  <c r="D333" i="24" s="1"/>
  <c r="G333" i="24" s="1"/>
  <c r="B333" i="24"/>
  <c r="F333" i="24" s="1"/>
  <c r="A339" i="24"/>
  <c r="C338" i="24"/>
  <c r="W39" i="34"/>
  <c r="Y39" i="34"/>
  <c r="X39" i="34"/>
  <c r="AT32" i="30"/>
  <c r="V32" i="30" s="1"/>
  <c r="D345" i="24" s="1"/>
  <c r="G345" i="24" s="1"/>
  <c r="B345" i="24"/>
  <c r="F345" i="24" s="1"/>
  <c r="X37" i="34"/>
  <c r="A350" i="24"/>
  <c r="C349" i="24"/>
  <c r="A426" i="24"/>
  <c r="C425" i="24"/>
  <c r="F425" i="24" s="1"/>
  <c r="AT16" i="30"/>
  <c r="AU16" i="30" s="1"/>
  <c r="B334" i="24"/>
  <c r="F334" i="24" s="1"/>
  <c r="AT20" i="30"/>
  <c r="AU20" i="30" s="1"/>
  <c r="B338" i="24"/>
  <c r="W37" i="34"/>
  <c r="A359" i="24"/>
  <c r="C358" i="24"/>
  <c r="F358" i="24" s="1"/>
  <c r="A414" i="24"/>
  <c r="C413" i="24"/>
  <c r="F413" i="24" s="1"/>
  <c r="AT35" i="30"/>
  <c r="AU35" i="30" s="1"/>
  <c r="B348" i="24"/>
  <c r="F348" i="24" s="1"/>
  <c r="AT19" i="30"/>
  <c r="AU19" i="30" s="1"/>
  <c r="B337" i="24"/>
  <c r="F337" i="24" s="1"/>
  <c r="W30" i="35"/>
  <c r="A382" i="24"/>
  <c r="C381" i="24"/>
  <c r="F381" i="24" s="1"/>
  <c r="AT18" i="30"/>
  <c r="AU18" i="30" s="1"/>
  <c r="B336" i="24"/>
  <c r="F336" i="24" s="1"/>
  <c r="AT22" i="30"/>
  <c r="V22" i="30" s="1"/>
  <c r="D340" i="24" s="1"/>
  <c r="G340" i="24" s="1"/>
  <c r="B340" i="24"/>
  <c r="AT17" i="30"/>
  <c r="V17" i="30" s="1"/>
  <c r="D335" i="24" s="1"/>
  <c r="G335" i="24" s="1"/>
  <c r="B335" i="24"/>
  <c r="F335" i="24" s="1"/>
  <c r="AT31" i="30"/>
  <c r="AU31" i="30" s="1"/>
  <c r="B344" i="24"/>
  <c r="F344" i="24" s="1"/>
  <c r="AT38" i="30"/>
  <c r="V38" i="30" s="1"/>
  <c r="D351" i="24" s="1"/>
  <c r="G351" i="24" s="1"/>
  <c r="B351" i="24"/>
  <c r="AT23" i="30"/>
  <c r="AU23" i="30" s="1"/>
  <c r="B341" i="24"/>
  <c r="X30" i="35"/>
  <c r="A403" i="24"/>
  <c r="C402" i="24"/>
  <c r="F402" i="24" s="1"/>
  <c r="Y39" i="32"/>
  <c r="X39" i="32"/>
  <c r="W39" i="32"/>
  <c r="AT39" i="30"/>
  <c r="V39" i="30" s="1"/>
  <c r="D352" i="24" s="1"/>
  <c r="G352" i="24" s="1"/>
  <c r="B352" i="24"/>
  <c r="W38" i="35"/>
  <c r="A394" i="24"/>
  <c r="C393" i="24"/>
  <c r="F393" i="24" s="1"/>
  <c r="AT34" i="30"/>
  <c r="V34" i="30" s="1"/>
  <c r="D347" i="24" s="1"/>
  <c r="G347" i="24" s="1"/>
  <c r="B347" i="24"/>
  <c r="F347" i="24" s="1"/>
  <c r="A436" i="24"/>
  <c r="C435" i="24"/>
  <c r="F435" i="24" s="1"/>
  <c r="AR20" i="30"/>
  <c r="AR19" i="30"/>
  <c r="AO21" i="30"/>
  <c r="AO23" i="30"/>
  <c r="N40" i="8"/>
  <c r="E32" i="8"/>
  <c r="E39" i="8"/>
  <c r="E31" i="8"/>
  <c r="E30" i="8"/>
  <c r="B33" i="8"/>
  <c r="I40" i="8"/>
  <c r="B32" i="8"/>
  <c r="B38" i="8"/>
  <c r="B30" i="8"/>
  <c r="E37" i="8"/>
  <c r="E33" i="8"/>
  <c r="B39" i="8"/>
  <c r="B31" i="8"/>
  <c r="E38" i="8"/>
  <c r="B37" i="8"/>
  <c r="E36" i="8"/>
  <c r="B36" i="8"/>
  <c r="E35" i="8"/>
  <c r="B35" i="8"/>
  <c r="E34" i="8"/>
  <c r="B34" i="8"/>
  <c r="BC18" i="8"/>
  <c r="BC15" i="8"/>
  <c r="BC17" i="8"/>
  <c r="BC16" i="8"/>
  <c r="E19" i="8"/>
  <c r="E18" i="8"/>
  <c r="B17" i="8"/>
  <c r="E22" i="8"/>
  <c r="B14" i="8"/>
  <c r="E21" i="8"/>
  <c r="E20" i="8"/>
  <c r="B19" i="8"/>
  <c r="E17" i="8"/>
  <c r="N24" i="8"/>
  <c r="E16" i="8"/>
  <c r="B22" i="8"/>
  <c r="B21" i="8"/>
  <c r="B20" i="8"/>
  <c r="B18" i="8"/>
  <c r="I24" i="8"/>
  <c r="B16" i="8"/>
  <c r="E23" i="8"/>
  <c r="E15" i="8"/>
  <c r="B23" i="8"/>
  <c r="B15" i="8"/>
  <c r="E14" i="8"/>
  <c r="E19" i="9"/>
  <c r="B19" i="9"/>
  <c r="B18" i="9"/>
  <c r="B17" i="9"/>
  <c r="I24" i="9"/>
  <c r="B16" i="9"/>
  <c r="B23" i="9"/>
  <c r="B15" i="9"/>
  <c r="E14" i="9"/>
  <c r="B22" i="9"/>
  <c r="E21" i="9"/>
  <c r="B20" i="9"/>
  <c r="E18" i="9"/>
  <c r="E17" i="9"/>
  <c r="N24" i="9"/>
  <c r="E16" i="9"/>
  <c r="E23" i="9"/>
  <c r="E15" i="9"/>
  <c r="E22" i="9"/>
  <c r="B14" i="9"/>
  <c r="B21" i="9"/>
  <c r="E20" i="9"/>
  <c r="BC13" i="9"/>
  <c r="BC21" i="9"/>
  <c r="N40" i="9"/>
  <c r="E32" i="9"/>
  <c r="B32" i="9"/>
  <c r="B39" i="9"/>
  <c r="B38" i="9"/>
  <c r="B30" i="9"/>
  <c r="B37" i="9"/>
  <c r="B36" i="9"/>
  <c r="E35" i="9"/>
  <c r="B34" i="9"/>
  <c r="E33" i="9"/>
  <c r="I40" i="9"/>
  <c r="E39" i="9"/>
  <c r="E31" i="9"/>
  <c r="B31" i="9"/>
  <c r="E38" i="9"/>
  <c r="E30" i="9"/>
  <c r="E37" i="9"/>
  <c r="E36" i="9"/>
  <c r="B35" i="9"/>
  <c r="E34" i="9"/>
  <c r="B33" i="9"/>
  <c r="BC15" i="9"/>
  <c r="BC20" i="9"/>
  <c r="BC19" i="9"/>
  <c r="BC23" i="9"/>
  <c r="E19" i="10"/>
  <c r="N24" i="10"/>
  <c r="E16" i="10"/>
  <c r="E21" i="10"/>
  <c r="B19" i="10"/>
  <c r="B21" i="10"/>
  <c r="B20" i="10"/>
  <c r="E18" i="10"/>
  <c r="B15" i="10"/>
  <c r="B18" i="10"/>
  <c r="E17" i="10"/>
  <c r="E23" i="10"/>
  <c r="E14" i="10"/>
  <c r="B22" i="10"/>
  <c r="E20" i="10"/>
  <c r="B17" i="10"/>
  <c r="E15" i="10"/>
  <c r="E22" i="10"/>
  <c r="B14" i="10"/>
  <c r="I24" i="10"/>
  <c r="B16" i="10"/>
  <c r="B23" i="10"/>
  <c r="BC17" i="10"/>
  <c r="N40" i="10"/>
  <c r="E32" i="10"/>
  <c r="E37" i="10"/>
  <c r="E36" i="10"/>
  <c r="E35" i="10"/>
  <c r="B33" i="10"/>
  <c r="I40" i="10"/>
  <c r="B32" i="10"/>
  <c r="E39" i="10"/>
  <c r="E31" i="10"/>
  <c r="B39" i="10"/>
  <c r="B31" i="10"/>
  <c r="B36" i="10"/>
  <c r="B35" i="10"/>
  <c r="E38" i="10"/>
  <c r="E30" i="10"/>
  <c r="B38" i="10"/>
  <c r="B30" i="10"/>
  <c r="B34" i="10"/>
  <c r="B37" i="10"/>
  <c r="E34" i="10"/>
  <c r="E33" i="10"/>
  <c r="BC13" i="10"/>
  <c r="BC15" i="10"/>
  <c r="BC14" i="11"/>
  <c r="E19" i="11"/>
  <c r="B17" i="11"/>
  <c r="I24" i="11"/>
  <c r="B15" i="11"/>
  <c r="E14" i="11"/>
  <c r="B14" i="11"/>
  <c r="E21" i="11"/>
  <c r="E20" i="11"/>
  <c r="B19" i="11"/>
  <c r="E15" i="11"/>
  <c r="E18" i="11"/>
  <c r="E22" i="11"/>
  <c r="B18" i="11"/>
  <c r="E17" i="11"/>
  <c r="B16" i="11"/>
  <c r="E23" i="11"/>
  <c r="B23" i="11"/>
  <c r="B22" i="11"/>
  <c r="B21" i="11"/>
  <c r="N24" i="11"/>
  <c r="E16" i="11"/>
  <c r="B20" i="11"/>
  <c r="BQ16" i="11"/>
  <c r="AR16" i="11" s="1"/>
  <c r="N40" i="11"/>
  <c r="E32" i="11"/>
  <c r="B30" i="11"/>
  <c r="E36" i="11"/>
  <c r="B36" i="11"/>
  <c r="I40" i="11"/>
  <c r="B32" i="11"/>
  <c r="B34" i="11"/>
  <c r="E39" i="11"/>
  <c r="E31" i="11"/>
  <c r="E33" i="11"/>
  <c r="B39" i="11"/>
  <c r="B31" i="11"/>
  <c r="B35" i="11"/>
  <c r="E38" i="11"/>
  <c r="E30" i="11"/>
  <c r="E35" i="11"/>
  <c r="B33" i="11"/>
  <c r="B38" i="11"/>
  <c r="E37" i="11"/>
  <c r="B37" i="11"/>
  <c r="E34" i="11"/>
  <c r="BC20" i="11"/>
  <c r="BC17" i="11"/>
  <c r="BC19" i="11"/>
  <c r="BC14" i="12"/>
  <c r="E19" i="12"/>
  <c r="N24" i="12"/>
  <c r="E16" i="12"/>
  <c r="B23" i="12"/>
  <c r="E22" i="12"/>
  <c r="B21" i="12"/>
  <c r="E20" i="12"/>
  <c r="B19" i="12"/>
  <c r="E18" i="12"/>
  <c r="B15" i="12"/>
  <c r="B18" i="12"/>
  <c r="B14" i="12"/>
  <c r="B20" i="12"/>
  <c r="E17" i="12"/>
  <c r="B17" i="12"/>
  <c r="E23" i="12"/>
  <c r="B22" i="12"/>
  <c r="E21" i="12"/>
  <c r="I24" i="12"/>
  <c r="B16" i="12"/>
  <c r="AT16" i="12" s="1"/>
  <c r="AU16" i="12" s="1"/>
  <c r="E15" i="12"/>
  <c r="E14" i="12"/>
  <c r="N40" i="12"/>
  <c r="E32" i="12"/>
  <c r="E37" i="12"/>
  <c r="E36" i="12"/>
  <c r="B35" i="12"/>
  <c r="I40" i="12"/>
  <c r="B32" i="12"/>
  <c r="E39" i="12"/>
  <c r="E31" i="12"/>
  <c r="B39" i="12"/>
  <c r="B31" i="12"/>
  <c r="B36" i="12"/>
  <c r="B34" i="12"/>
  <c r="E38" i="12"/>
  <c r="E30" i="12"/>
  <c r="B38" i="12"/>
  <c r="B30" i="12"/>
  <c r="E35" i="12"/>
  <c r="E33" i="12"/>
  <c r="B37" i="12"/>
  <c r="E34" i="12"/>
  <c r="B33" i="12"/>
  <c r="BC20" i="12"/>
  <c r="BC18" i="12"/>
  <c r="BC19" i="12"/>
  <c r="BC16" i="12"/>
  <c r="BC23" i="12"/>
  <c r="BC13" i="12"/>
  <c r="BC22" i="12"/>
  <c r="BC19" i="13"/>
  <c r="E19" i="13"/>
  <c r="I24" i="13"/>
  <c r="B16" i="13"/>
  <c r="B22" i="13"/>
  <c r="B19" i="13"/>
  <c r="E14" i="13"/>
  <c r="B21" i="13"/>
  <c r="E18" i="13"/>
  <c r="B15" i="13"/>
  <c r="B18" i="13"/>
  <c r="E17" i="13"/>
  <c r="E15" i="13"/>
  <c r="E22" i="13"/>
  <c r="E20" i="13"/>
  <c r="B17" i="13"/>
  <c r="E21" i="13"/>
  <c r="B20" i="13"/>
  <c r="N24" i="13"/>
  <c r="E16" i="13"/>
  <c r="E23" i="13"/>
  <c r="B23" i="13"/>
  <c r="B14" i="13"/>
  <c r="N40" i="13"/>
  <c r="E32" i="13"/>
  <c r="B37" i="13"/>
  <c r="E36" i="13"/>
  <c r="I40" i="13"/>
  <c r="B32" i="13"/>
  <c r="B33" i="13"/>
  <c r="E39" i="13"/>
  <c r="E31" i="13"/>
  <c r="B39" i="13"/>
  <c r="B31" i="13"/>
  <c r="E34" i="13"/>
  <c r="E33" i="13"/>
  <c r="E38" i="13"/>
  <c r="E30" i="13"/>
  <c r="B38" i="13"/>
  <c r="B30" i="13"/>
  <c r="B36" i="13"/>
  <c r="B35" i="13"/>
  <c r="E37" i="13"/>
  <c r="E35" i="13"/>
  <c r="B34" i="13"/>
  <c r="BQ20" i="13"/>
  <c r="AR20" i="13" s="1"/>
  <c r="BC15" i="13"/>
  <c r="BC14" i="14"/>
  <c r="BC13" i="14"/>
  <c r="N40" i="14"/>
  <c r="E32" i="14"/>
  <c r="I40" i="14"/>
  <c r="B32" i="14"/>
  <c r="B31" i="14"/>
  <c r="E38" i="14"/>
  <c r="E30" i="14"/>
  <c r="E37" i="14"/>
  <c r="E36" i="14"/>
  <c r="B33" i="14"/>
  <c r="E39" i="14"/>
  <c r="E31" i="14"/>
  <c r="B39" i="14"/>
  <c r="B38" i="14"/>
  <c r="B30" i="14"/>
  <c r="B37" i="14"/>
  <c r="B36" i="14"/>
  <c r="E35" i="14"/>
  <c r="B35" i="14"/>
  <c r="E34" i="14"/>
  <c r="B34" i="14"/>
  <c r="E33" i="14"/>
  <c r="E19" i="14"/>
  <c r="B19" i="14"/>
  <c r="E17" i="14"/>
  <c r="N24" i="14"/>
  <c r="E16" i="14"/>
  <c r="E23" i="14"/>
  <c r="E15" i="14"/>
  <c r="E22" i="14"/>
  <c r="B22" i="14"/>
  <c r="E21" i="14"/>
  <c r="B21" i="14"/>
  <c r="E20" i="14"/>
  <c r="E18" i="14"/>
  <c r="B18" i="14"/>
  <c r="B17" i="14"/>
  <c r="I24" i="14"/>
  <c r="B16" i="14"/>
  <c r="B23" i="14"/>
  <c r="B15" i="14"/>
  <c r="E14" i="14"/>
  <c r="B14" i="14"/>
  <c r="B20" i="14"/>
  <c r="BC15" i="14"/>
  <c r="BC17" i="14"/>
  <c r="BC19" i="15"/>
  <c r="E19" i="15"/>
  <c r="E18" i="15"/>
  <c r="I24" i="15"/>
  <c r="E15" i="15"/>
  <c r="E14" i="15"/>
  <c r="B22" i="15"/>
  <c r="B20" i="15"/>
  <c r="B19" i="15"/>
  <c r="E17" i="15"/>
  <c r="B16" i="15"/>
  <c r="B15" i="15"/>
  <c r="B14" i="15"/>
  <c r="E21" i="15"/>
  <c r="B21" i="15"/>
  <c r="B18" i="15"/>
  <c r="B17" i="15"/>
  <c r="N24" i="15"/>
  <c r="E16" i="15"/>
  <c r="E23" i="15"/>
  <c r="B23" i="15"/>
  <c r="E22" i="15"/>
  <c r="E20" i="15"/>
  <c r="BC23" i="15"/>
  <c r="N40" i="15"/>
  <c r="E32" i="15"/>
  <c r="E39" i="15"/>
  <c r="E31" i="15"/>
  <c r="E30" i="15"/>
  <c r="B30" i="15"/>
  <c r="E36" i="15"/>
  <c r="E34" i="15"/>
  <c r="I40" i="15"/>
  <c r="B32" i="15"/>
  <c r="B37" i="15"/>
  <c r="E35" i="15"/>
  <c r="E33" i="15"/>
  <c r="B39" i="15"/>
  <c r="B31" i="15"/>
  <c r="E38" i="15"/>
  <c r="B38" i="15"/>
  <c r="E37" i="15"/>
  <c r="B36" i="15"/>
  <c r="B35" i="15"/>
  <c r="B34" i="15"/>
  <c r="B33" i="15"/>
  <c r="BC22" i="15"/>
  <c r="BQ16" i="15"/>
  <c r="AO16" i="15" s="1"/>
  <c r="N40" i="16"/>
  <c r="E32" i="16"/>
  <c r="B37" i="16"/>
  <c r="E36" i="16"/>
  <c r="B35" i="16"/>
  <c r="E34" i="16"/>
  <c r="I40" i="16"/>
  <c r="B32" i="16"/>
  <c r="B36" i="16"/>
  <c r="E39" i="16"/>
  <c r="E31" i="16"/>
  <c r="B39" i="16"/>
  <c r="B31" i="16"/>
  <c r="B34" i="16"/>
  <c r="E38" i="16"/>
  <c r="E30" i="16"/>
  <c r="B38" i="16"/>
  <c r="B30" i="16"/>
  <c r="E35" i="16"/>
  <c r="B33" i="16"/>
  <c r="E37" i="16"/>
  <c r="E33" i="16"/>
  <c r="BC17" i="16"/>
  <c r="E19" i="16"/>
  <c r="E16" i="16"/>
  <c r="I24" i="16"/>
  <c r="B16" i="16"/>
  <c r="E22" i="16"/>
  <c r="E20" i="16"/>
  <c r="B19" i="16"/>
  <c r="E18" i="16"/>
  <c r="B23" i="16"/>
  <c r="B18" i="16"/>
  <c r="B20" i="16"/>
  <c r="E17" i="16"/>
  <c r="B15" i="16"/>
  <c r="B17" i="16"/>
  <c r="E23" i="16"/>
  <c r="B22" i="16"/>
  <c r="B21" i="16"/>
  <c r="N24" i="16"/>
  <c r="E15" i="16"/>
  <c r="E14" i="16"/>
  <c r="B14" i="16"/>
  <c r="E21" i="16"/>
  <c r="BC14" i="17"/>
  <c r="E19" i="17"/>
  <c r="B19" i="17"/>
  <c r="E17" i="17"/>
  <c r="B17" i="17"/>
  <c r="E16" i="17"/>
  <c r="B16" i="17"/>
  <c r="E23" i="17"/>
  <c r="E15" i="17"/>
  <c r="E20" i="17"/>
  <c r="E18" i="17"/>
  <c r="B18" i="17"/>
  <c r="I24" i="17"/>
  <c r="N24" i="17"/>
  <c r="B23" i="17"/>
  <c r="B15" i="17"/>
  <c r="E22" i="17"/>
  <c r="E14" i="17"/>
  <c r="B22" i="17"/>
  <c r="B14" i="17"/>
  <c r="E21" i="17"/>
  <c r="B21" i="17"/>
  <c r="B20" i="17"/>
  <c r="BC15" i="17"/>
  <c r="BC18" i="17"/>
  <c r="BC13" i="17"/>
  <c r="N40" i="17"/>
  <c r="E32" i="17"/>
  <c r="I40" i="17"/>
  <c r="B32" i="17"/>
  <c r="B39" i="17"/>
  <c r="E38" i="17"/>
  <c r="B38" i="17"/>
  <c r="E37" i="17"/>
  <c r="B37" i="17"/>
  <c r="E36" i="17"/>
  <c r="E39" i="17"/>
  <c r="E31" i="17"/>
  <c r="B31" i="17"/>
  <c r="E30" i="17"/>
  <c r="B30" i="17"/>
  <c r="B36" i="17"/>
  <c r="E35" i="17"/>
  <c r="B35" i="17"/>
  <c r="E34" i="17"/>
  <c r="B34" i="17"/>
  <c r="E33" i="17"/>
  <c r="B33" i="17"/>
  <c r="BC18" i="18"/>
  <c r="BC13" i="18"/>
  <c r="E19" i="18"/>
  <c r="E16" i="18"/>
  <c r="B23" i="18"/>
  <c r="B14" i="18"/>
  <c r="B19" i="18"/>
  <c r="B15" i="18"/>
  <c r="E14" i="18"/>
  <c r="E20" i="18"/>
  <c r="E18" i="18"/>
  <c r="B18" i="18"/>
  <c r="E15" i="18"/>
  <c r="E22" i="18"/>
  <c r="E21" i="18"/>
  <c r="E17" i="18"/>
  <c r="B17" i="18"/>
  <c r="E23" i="18"/>
  <c r="B21" i="18"/>
  <c r="N24" i="18"/>
  <c r="I24" i="18"/>
  <c r="B16" i="18"/>
  <c r="B22" i="18"/>
  <c r="B20" i="18"/>
  <c r="N40" i="18"/>
  <c r="E32" i="18"/>
  <c r="E37" i="18"/>
  <c r="B34" i="18"/>
  <c r="I40" i="18"/>
  <c r="B32" i="18"/>
  <c r="E39" i="18"/>
  <c r="E31" i="18"/>
  <c r="B36" i="18"/>
  <c r="B35" i="18"/>
  <c r="E33" i="18"/>
  <c r="B39" i="18"/>
  <c r="B31" i="18"/>
  <c r="E38" i="18"/>
  <c r="E30" i="18"/>
  <c r="E34" i="18"/>
  <c r="B33" i="18"/>
  <c r="B38" i="18"/>
  <c r="B30" i="18"/>
  <c r="E35" i="18"/>
  <c r="B37" i="18"/>
  <c r="E36" i="18"/>
  <c r="BQ18" i="18"/>
  <c r="AO18" i="18" s="1"/>
  <c r="BC16" i="19"/>
  <c r="BQ13" i="19"/>
  <c r="AO13" i="19" s="1"/>
  <c r="BC15" i="19"/>
  <c r="E19" i="19"/>
  <c r="B17" i="19"/>
  <c r="B16" i="19"/>
  <c r="E15" i="19"/>
  <c r="B23" i="19"/>
  <c r="E14" i="19"/>
  <c r="B14" i="19"/>
  <c r="B19" i="19"/>
  <c r="B15" i="19"/>
  <c r="B22" i="19"/>
  <c r="B21" i="19"/>
  <c r="E20" i="19"/>
  <c r="E18" i="19"/>
  <c r="E23" i="19"/>
  <c r="B18" i="19"/>
  <c r="E17" i="19"/>
  <c r="I24" i="19"/>
  <c r="E21" i="19"/>
  <c r="N24" i="19"/>
  <c r="E16" i="19"/>
  <c r="E22" i="19"/>
  <c r="B20" i="19"/>
  <c r="BC13" i="19"/>
  <c r="BC14" i="19"/>
  <c r="BC18" i="19"/>
  <c r="E39" i="19"/>
  <c r="E31" i="19"/>
  <c r="I40" i="19"/>
  <c r="B32" i="19"/>
  <c r="B39" i="19"/>
  <c r="B31" i="19"/>
  <c r="E35" i="19"/>
  <c r="E38" i="19"/>
  <c r="E30" i="19"/>
  <c r="B34" i="19"/>
  <c r="B38" i="19"/>
  <c r="B30" i="19"/>
  <c r="E34" i="19"/>
  <c r="E33" i="19"/>
  <c r="E37" i="19"/>
  <c r="N40" i="19"/>
  <c r="E32" i="19"/>
  <c r="B37" i="19"/>
  <c r="E36" i="19"/>
  <c r="B36" i="19"/>
  <c r="B35" i="19"/>
  <c r="B33" i="19"/>
  <c r="E38" i="21"/>
  <c r="E30" i="21"/>
  <c r="E37" i="21"/>
  <c r="E36" i="21"/>
  <c r="E35" i="21"/>
  <c r="E34" i="21"/>
  <c r="B34" i="21"/>
  <c r="B33" i="21"/>
  <c r="E39" i="21"/>
  <c r="E31" i="21"/>
  <c r="B38" i="21"/>
  <c r="B30" i="21"/>
  <c r="B37" i="21"/>
  <c r="B36" i="21"/>
  <c r="B35" i="21"/>
  <c r="E33" i="21"/>
  <c r="N40" i="21"/>
  <c r="E32" i="21"/>
  <c r="I40" i="21"/>
  <c r="B32" i="21"/>
  <c r="B39" i="21"/>
  <c r="B31" i="21"/>
  <c r="BC14" i="20"/>
  <c r="E17" i="21"/>
  <c r="E16" i="21"/>
  <c r="E23" i="21"/>
  <c r="E15" i="21"/>
  <c r="B23" i="21"/>
  <c r="E14" i="21"/>
  <c r="B22" i="21"/>
  <c r="B21" i="21"/>
  <c r="E20" i="21"/>
  <c r="E19" i="21"/>
  <c r="E18" i="21"/>
  <c r="B17" i="21"/>
  <c r="N24" i="21"/>
  <c r="I24" i="21"/>
  <c r="B16" i="21"/>
  <c r="B15" i="21"/>
  <c r="E22" i="21"/>
  <c r="B14" i="21"/>
  <c r="E21" i="21"/>
  <c r="B20" i="21"/>
  <c r="B19" i="21"/>
  <c r="B18" i="21"/>
  <c r="BC17" i="20"/>
  <c r="BC13" i="20"/>
  <c r="BC16" i="20"/>
  <c r="E39" i="20"/>
  <c r="E31" i="20"/>
  <c r="E30" i="20"/>
  <c r="E37" i="20"/>
  <c r="N40" i="20"/>
  <c r="E36" i="20"/>
  <c r="E35" i="20"/>
  <c r="B35" i="20"/>
  <c r="B34" i="20"/>
  <c r="B33" i="20"/>
  <c r="E32" i="20"/>
  <c r="B39" i="20"/>
  <c r="B31" i="20"/>
  <c r="E38" i="20"/>
  <c r="B38" i="20"/>
  <c r="B30" i="20"/>
  <c r="B37" i="20"/>
  <c r="I40" i="20"/>
  <c r="B36" i="20"/>
  <c r="E34" i="20"/>
  <c r="E33" i="20"/>
  <c r="B32" i="20"/>
  <c r="BC15" i="20"/>
  <c r="E19" i="20"/>
  <c r="E17" i="20"/>
  <c r="E16" i="20"/>
  <c r="I24" i="20"/>
  <c r="B16" i="20"/>
  <c r="E15" i="20"/>
  <c r="B15" i="20"/>
  <c r="E22" i="20"/>
  <c r="B14" i="20"/>
  <c r="B46" i="24" s="1"/>
  <c r="E21" i="20"/>
  <c r="E20" i="20"/>
  <c r="B19" i="20"/>
  <c r="E18" i="20"/>
  <c r="B18" i="20"/>
  <c r="B17" i="20"/>
  <c r="N24" i="20"/>
  <c r="E23" i="20"/>
  <c r="B23" i="20"/>
  <c r="E14" i="20"/>
  <c r="B22" i="20"/>
  <c r="B21" i="20"/>
  <c r="B20" i="20"/>
  <c r="BC13" i="21"/>
  <c r="BC15" i="21"/>
  <c r="BC16" i="21"/>
  <c r="BQ14" i="21"/>
  <c r="AO14" i="21" s="1"/>
  <c r="AR13" i="30"/>
  <c r="BQ21" i="8"/>
  <c r="AO21" i="8" s="1"/>
  <c r="BQ14" i="8"/>
  <c r="AR14" i="8" s="1"/>
  <c r="BQ23" i="9"/>
  <c r="AR23" i="9" s="1"/>
  <c r="BQ21" i="9"/>
  <c r="AO21" i="9" s="1"/>
  <c r="BQ19" i="9"/>
  <c r="AO19" i="9" s="1"/>
  <c r="BC18" i="9"/>
  <c r="BQ16" i="9"/>
  <c r="AR16" i="9" s="1"/>
  <c r="BC14" i="9"/>
  <c r="BQ15" i="10"/>
  <c r="AO15" i="10" s="1"/>
  <c r="BQ23" i="11"/>
  <c r="AR23" i="11" s="1"/>
  <c r="BQ18" i="11"/>
  <c r="AO18" i="11" s="1"/>
  <c r="BQ21" i="12"/>
  <c r="AR21" i="12" s="1"/>
  <c r="BC17" i="12"/>
  <c r="BQ22" i="13"/>
  <c r="AR22" i="13" s="1"/>
  <c r="BC20" i="13"/>
  <c r="BC17" i="13"/>
  <c r="BQ15" i="13"/>
  <c r="AR15" i="13" s="1"/>
  <c r="BQ21" i="14"/>
  <c r="BQ17" i="14"/>
  <c r="AO17" i="14" s="1"/>
  <c r="BQ20" i="15"/>
  <c r="AR20" i="15" s="1"/>
  <c r="BQ18" i="15"/>
  <c r="AO18" i="15" s="1"/>
  <c r="BC18" i="16"/>
  <c r="BC21" i="17"/>
  <c r="BQ18" i="17"/>
  <c r="AR18" i="17" s="1"/>
  <c r="BQ14" i="18"/>
  <c r="AO14" i="18" s="1"/>
  <c r="BQ16" i="19"/>
  <c r="AO16" i="19" s="1"/>
  <c r="BQ14" i="19"/>
  <c r="AR14" i="19" s="1"/>
  <c r="BQ19" i="20"/>
  <c r="AR19" i="20" s="1"/>
  <c r="BQ18" i="21"/>
  <c r="AR18" i="21" s="1"/>
  <c r="BQ25" i="28"/>
  <c r="BQ21" i="28"/>
  <c r="BC13" i="28"/>
  <c r="BC41" i="28"/>
  <c r="BQ18" i="28"/>
  <c r="AR18" i="28" s="1"/>
  <c r="BC20" i="28"/>
  <c r="BQ41" i="28"/>
  <c r="AO41" i="28" s="1"/>
  <c r="BC43" i="28"/>
  <c r="BC22" i="28"/>
  <c r="BC24" i="28"/>
  <c r="BQ45" i="28"/>
  <c r="AO45" i="28" s="1"/>
  <c r="BQ43" i="28"/>
  <c r="AO43" i="28" s="1"/>
  <c r="BC46" i="28"/>
  <c r="AO29" i="30"/>
  <c r="AR29" i="30"/>
  <c r="AO37" i="30"/>
  <c r="AR37" i="30"/>
  <c r="AO45" i="30"/>
  <c r="AR45" i="30"/>
  <c r="AO27" i="30"/>
  <c r="AR27" i="30"/>
  <c r="AO26" i="30"/>
  <c r="AR26" i="30"/>
  <c r="AO46" i="30"/>
  <c r="AR46" i="30"/>
  <c r="AO28" i="30"/>
  <c r="AR28" i="30"/>
  <c r="AO35" i="30"/>
  <c r="AR35" i="30"/>
  <c r="AR43" i="30"/>
  <c r="AO43" i="30"/>
  <c r="AO31" i="30"/>
  <c r="AR31" i="30"/>
  <c r="BC36" i="16"/>
  <c r="BQ39" i="16"/>
  <c r="BC41" i="16"/>
  <c r="BQ15" i="16"/>
  <c r="AR15" i="16" s="1"/>
  <c r="BC33" i="16"/>
  <c r="BQ41" i="16"/>
  <c r="AR41" i="16" s="1"/>
  <c r="BQ19" i="16"/>
  <c r="AR19" i="16" s="1"/>
  <c r="BC45" i="16"/>
  <c r="BC16" i="16"/>
  <c r="BC25" i="16"/>
  <c r="BQ45" i="16"/>
  <c r="AO45" i="16" s="1"/>
  <c r="AR25" i="12"/>
  <c r="AO25" i="12"/>
  <c r="BQ15" i="21"/>
  <c r="AR15" i="21" s="1"/>
  <c r="BQ22" i="21"/>
  <c r="AO22" i="21" s="1"/>
  <c r="BQ23" i="21"/>
  <c r="BQ29" i="20"/>
  <c r="AR29" i="20" s="1"/>
  <c r="BQ17" i="21"/>
  <c r="AO17" i="21" s="1"/>
  <c r="BQ41" i="21"/>
  <c r="BQ43" i="21"/>
  <c r="BQ45" i="21"/>
  <c r="BQ20" i="20"/>
  <c r="AR20" i="20" s="1"/>
  <c r="BQ22" i="20"/>
  <c r="BQ24" i="20"/>
  <c r="BQ37" i="20"/>
  <c r="AO37" i="20" s="1"/>
  <c r="AO39" i="16"/>
  <c r="AR39" i="16"/>
  <c r="AR13" i="15"/>
  <c r="AO13" i="15"/>
  <c r="AS52" i="15" s="1"/>
  <c r="AR28" i="14"/>
  <c r="AO28" i="14"/>
  <c r="BQ21" i="21"/>
  <c r="AR21" i="21" s="1"/>
  <c r="BQ25" i="21"/>
  <c r="BC27" i="21"/>
  <c r="BC29" i="21"/>
  <c r="BC31" i="21"/>
  <c r="BC33" i="21"/>
  <c r="BQ33" i="21"/>
  <c r="AO33" i="21" s="1"/>
  <c r="BC35" i="21"/>
  <c r="BC37" i="21"/>
  <c r="BQ37" i="21"/>
  <c r="AO37" i="21" s="1"/>
  <c r="BC39" i="21"/>
  <c r="BQ13" i="20"/>
  <c r="AR13" i="20" s="1"/>
  <c r="BQ14" i="20"/>
  <c r="AR14" i="20" s="1"/>
  <c r="BQ16" i="20"/>
  <c r="AR16" i="20" s="1"/>
  <c r="BC18" i="20"/>
  <c r="BQ18" i="20"/>
  <c r="AO18" i="20" s="1"/>
  <c r="BC24" i="20"/>
  <c r="BC31" i="20"/>
  <c r="BQ31" i="20"/>
  <c r="BC33" i="20"/>
  <c r="BQ33" i="20"/>
  <c r="AO33" i="20" s="1"/>
  <c r="BC46" i="20"/>
  <c r="BQ46" i="20"/>
  <c r="BQ20" i="19"/>
  <c r="AR20" i="19" s="1"/>
  <c r="BQ22" i="19"/>
  <c r="BC26" i="19"/>
  <c r="BQ26" i="19"/>
  <c r="BC28" i="19"/>
  <c r="BC32" i="19"/>
  <c r="BQ33" i="19"/>
  <c r="BC36" i="19"/>
  <c r="BQ37" i="19"/>
  <c r="BQ41" i="19"/>
  <c r="BQ44" i="19"/>
  <c r="BC46" i="19"/>
  <c r="BC17" i="18"/>
  <c r="BQ17" i="18"/>
  <c r="AR17" i="18" s="1"/>
  <c r="BC19" i="18"/>
  <c r="BQ20" i="18"/>
  <c r="AR20" i="18" s="1"/>
  <c r="BC25" i="18"/>
  <c r="BQ25" i="18"/>
  <c r="AO25" i="18" s="1"/>
  <c r="BQ31" i="18"/>
  <c r="AO31" i="18" s="1"/>
  <c r="BC33" i="18"/>
  <c r="BQ39" i="18"/>
  <c r="AO39" i="18" s="1"/>
  <c r="BC41" i="18"/>
  <c r="BQ41" i="18"/>
  <c r="BQ16" i="17"/>
  <c r="AO16" i="17" s="1"/>
  <c r="BQ26" i="17"/>
  <c r="BQ32" i="17"/>
  <c r="AO32" i="17" s="1"/>
  <c r="BC34" i="17"/>
  <c r="BQ46" i="17"/>
  <c r="BQ14" i="16"/>
  <c r="AR14" i="16" s="1"/>
  <c r="BC19" i="16"/>
  <c r="BQ24" i="16"/>
  <c r="BC34" i="16"/>
  <c r="BC39" i="16"/>
  <c r="BQ40" i="15"/>
  <c r="BQ22" i="14"/>
  <c r="BC28" i="14"/>
  <c r="BC40" i="14"/>
  <c r="BC21" i="12"/>
  <c r="BC45" i="12"/>
  <c r="BQ44" i="20"/>
  <c r="BQ17" i="19"/>
  <c r="AO17" i="19" s="1"/>
  <c r="AO39" i="17"/>
  <c r="AR39" i="17"/>
  <c r="BQ42" i="20"/>
  <c r="BQ15" i="19"/>
  <c r="AO15" i="19" s="1"/>
  <c r="BQ19" i="19"/>
  <c r="AR19" i="19" s="1"/>
  <c r="BQ27" i="19"/>
  <c r="BQ30" i="19"/>
  <c r="BQ34" i="19"/>
  <c r="BQ38" i="19"/>
  <c r="BQ42" i="19"/>
  <c r="BQ16" i="21"/>
  <c r="AO16" i="21" s="1"/>
  <c r="BQ19" i="21"/>
  <c r="AR19" i="21" s="1"/>
  <c r="BQ24" i="21"/>
  <c r="BC28" i="21"/>
  <c r="BC30" i="21"/>
  <c r="BC32" i="21"/>
  <c r="BC34" i="21"/>
  <c r="BC36" i="21"/>
  <c r="BC38" i="21"/>
  <c r="BC46" i="21"/>
  <c r="BQ46" i="21"/>
  <c r="BQ15" i="20"/>
  <c r="AR15" i="20" s="1"/>
  <c r="BQ17" i="20"/>
  <c r="BC32" i="20"/>
  <c r="BC34" i="20"/>
  <c r="BC39" i="20"/>
  <c r="BQ39" i="20"/>
  <c r="BQ18" i="19"/>
  <c r="AR18" i="19" s="1"/>
  <c r="BQ21" i="19"/>
  <c r="AO21" i="19" s="1"/>
  <c r="BQ23" i="19"/>
  <c r="BQ28" i="19"/>
  <c r="BC30" i="19"/>
  <c r="BQ31" i="19"/>
  <c r="BQ40" i="19"/>
  <c r="BC42" i="19"/>
  <c r="BQ45" i="19"/>
  <c r="BQ13" i="18"/>
  <c r="AR13" i="18" s="1"/>
  <c r="BQ15" i="18"/>
  <c r="AO15" i="18" s="1"/>
  <c r="BQ22" i="18"/>
  <c r="AR22" i="18" s="1"/>
  <c r="BQ27" i="18"/>
  <c r="AR27" i="18" s="1"/>
  <c r="BC29" i="18"/>
  <c r="BQ35" i="18"/>
  <c r="AO35" i="18" s="1"/>
  <c r="BC37" i="18"/>
  <c r="BC45" i="18"/>
  <c r="BQ45" i="18"/>
  <c r="BQ20" i="17"/>
  <c r="AR20" i="17" s="1"/>
  <c r="BC23" i="17"/>
  <c r="BC25" i="17"/>
  <c r="BQ25" i="17"/>
  <c r="BQ28" i="17"/>
  <c r="AR28" i="17" s="1"/>
  <c r="BC30" i="17"/>
  <c r="BQ36" i="17"/>
  <c r="AO36" i="17" s="1"/>
  <c r="BQ42" i="17"/>
  <c r="BQ21" i="16"/>
  <c r="BC43" i="16"/>
  <c r="BQ43" i="16"/>
  <c r="AO43" i="16" s="1"/>
  <c r="BQ17" i="15"/>
  <c r="BQ19" i="15"/>
  <c r="AO19" i="15" s="1"/>
  <c r="BC25" i="15"/>
  <c r="BQ25" i="15"/>
  <c r="BQ28" i="15"/>
  <c r="BQ32" i="15"/>
  <c r="BQ36" i="15"/>
  <c r="BQ44" i="15"/>
  <c r="BQ14" i="14"/>
  <c r="AR14" i="14" s="1"/>
  <c r="BQ25" i="14"/>
  <c r="BC27" i="14"/>
  <c r="BC31" i="14"/>
  <c r="BC44" i="14"/>
  <c r="BC22" i="13"/>
  <c r="BC43" i="13"/>
  <c r="BC15" i="12"/>
  <c r="BC18" i="11"/>
  <c r="BC34" i="19"/>
  <c r="BQ35" i="19"/>
  <c r="BC38" i="19"/>
  <c r="BQ39" i="19"/>
  <c r="BQ46" i="19"/>
  <c r="BC16" i="18"/>
  <c r="BQ16" i="18"/>
  <c r="AO16" i="18" s="1"/>
  <c r="BQ19" i="18"/>
  <c r="AR19" i="18" s="1"/>
  <c r="BC22" i="18"/>
  <c r="BQ23" i="18"/>
  <c r="BQ40" i="18"/>
  <c r="BQ42" i="18"/>
  <c r="BQ44" i="18"/>
  <c r="BQ13" i="17"/>
  <c r="AR13" i="17" s="1"/>
  <c r="BQ15" i="17"/>
  <c r="AR15" i="17" s="1"/>
  <c r="BC17" i="17"/>
  <c r="BC22" i="17"/>
  <c r="BQ23" i="17"/>
  <c r="BC37" i="17"/>
  <c r="BQ37" i="17"/>
  <c r="BC13" i="16"/>
  <c r="BC15" i="16"/>
  <c r="BQ17" i="16"/>
  <c r="AR17" i="16" s="1"/>
  <c r="BC24" i="16"/>
  <c r="BC26" i="16"/>
  <c r="BC28" i="16"/>
  <c r="BC30" i="16"/>
  <c r="BC35" i="16"/>
  <c r="BQ35" i="16"/>
  <c r="BC37" i="16"/>
  <c r="BQ37" i="16"/>
  <c r="AO37" i="16" s="1"/>
  <c r="BQ40" i="16"/>
  <c r="AO40" i="16" s="1"/>
  <c r="BQ42" i="16"/>
  <c r="AR42" i="16" s="1"/>
  <c r="BQ44" i="16"/>
  <c r="AO44" i="16" s="1"/>
  <c r="BC18" i="15"/>
  <c r="BC21" i="15"/>
  <c r="BQ23" i="15"/>
  <c r="AO23" i="15" s="1"/>
  <c r="BC24" i="15"/>
  <c r="BQ27" i="15"/>
  <c r="AO27" i="15" s="1"/>
  <c r="BC29" i="15"/>
  <c r="BQ30" i="15"/>
  <c r="BC33" i="15"/>
  <c r="BQ34" i="15"/>
  <c r="BC37" i="15"/>
  <c r="BQ38" i="15"/>
  <c r="BQ13" i="14"/>
  <c r="AR13" i="14" s="1"/>
  <c r="BQ15" i="14"/>
  <c r="AO15" i="14" s="1"/>
  <c r="BC18" i="14"/>
  <c r="BQ18" i="14"/>
  <c r="AR18" i="14" s="1"/>
  <c r="BQ20" i="14"/>
  <c r="AR20" i="14" s="1"/>
  <c r="BC24" i="14"/>
  <c r="BQ24" i="14"/>
  <c r="BQ26" i="14"/>
  <c r="BQ41" i="14"/>
  <c r="BQ43" i="14"/>
  <c r="BQ45" i="14"/>
  <c r="BC13" i="13"/>
  <c r="BQ13" i="13"/>
  <c r="BC14" i="13"/>
  <c r="BQ14" i="13"/>
  <c r="AO14" i="13" s="1"/>
  <c r="BC16" i="13"/>
  <c r="BQ16" i="13"/>
  <c r="AO16" i="13" s="1"/>
  <c r="BC18" i="13"/>
  <c r="BQ19" i="13"/>
  <c r="AO19" i="13" s="1"/>
  <c r="BQ21" i="13"/>
  <c r="AR21" i="13" s="1"/>
  <c r="BC24" i="13"/>
  <c r="BC27" i="13"/>
  <c r="BQ29" i="13"/>
  <c r="BC31" i="13"/>
  <c r="BQ33" i="13"/>
  <c r="BC35" i="13"/>
  <c r="BQ37" i="13"/>
  <c r="BQ42" i="13"/>
  <c r="AO42" i="13" s="1"/>
  <c r="BQ46" i="13"/>
  <c r="BQ18" i="12"/>
  <c r="AR18" i="12" s="1"/>
  <c r="BQ19" i="12"/>
  <c r="BQ23" i="12"/>
  <c r="BQ29" i="12"/>
  <c r="BQ31" i="12"/>
  <c r="AR31" i="12" s="1"/>
  <c r="BQ33" i="12"/>
  <c r="BQ35" i="12"/>
  <c r="BQ37" i="12"/>
  <c r="BQ39" i="12"/>
  <c r="AR39" i="12" s="1"/>
  <c r="BC42" i="12"/>
  <c r="BC44" i="12"/>
  <c r="BQ44" i="12"/>
  <c r="BQ46" i="12"/>
  <c r="AO46" i="12" s="1"/>
  <c r="BQ14" i="11"/>
  <c r="AR14" i="11" s="1"/>
  <c r="BC16" i="11"/>
  <c r="BQ19" i="11"/>
  <c r="AR19" i="11" s="1"/>
  <c r="BQ22" i="11"/>
  <c r="AR22" i="11" s="1"/>
  <c r="BC24" i="11"/>
  <c r="BQ24" i="11"/>
  <c r="BQ25" i="11"/>
  <c r="BQ31" i="11"/>
  <c r="AO31" i="11" s="1"/>
  <c r="BQ35" i="11"/>
  <c r="AO35" i="11" s="1"/>
  <c r="BQ39" i="11"/>
  <c r="AO39" i="11" s="1"/>
  <c r="BC34" i="14"/>
  <c r="BC36" i="14"/>
  <c r="BC38" i="14"/>
  <c r="BQ18" i="13"/>
  <c r="AO18" i="13" s="1"/>
  <c r="BC26" i="13"/>
  <c r="BQ30" i="13"/>
  <c r="AO30" i="13" s="1"/>
  <c r="BQ34" i="13"/>
  <c r="BQ38" i="13"/>
  <c r="BQ41" i="13"/>
  <c r="BQ44" i="13"/>
  <c r="AO44" i="13" s="1"/>
  <c r="BQ17" i="12"/>
  <c r="AO17" i="12" s="1"/>
  <c r="BQ22" i="12"/>
  <c r="BC24" i="12"/>
  <c r="BC40" i="12"/>
  <c r="BQ40" i="12"/>
  <c r="BQ42" i="12"/>
  <c r="BQ13" i="11"/>
  <c r="AR13" i="11" s="1"/>
  <c r="BQ15" i="11"/>
  <c r="AR15" i="11" s="1"/>
  <c r="BQ20" i="11"/>
  <c r="AR20" i="11" s="1"/>
  <c r="BC22" i="11"/>
  <c r="BQ29" i="11"/>
  <c r="AR29" i="11" s="1"/>
  <c r="BQ28" i="18"/>
  <c r="AR28" i="18" s="1"/>
  <c r="BQ30" i="18"/>
  <c r="AO30" i="18" s="1"/>
  <c r="BQ32" i="18"/>
  <c r="AO32" i="18" s="1"/>
  <c r="BQ34" i="18"/>
  <c r="AO34" i="18" s="1"/>
  <c r="BQ36" i="18"/>
  <c r="AO36" i="18" s="1"/>
  <c r="BQ38" i="18"/>
  <c r="AO38" i="18" s="1"/>
  <c r="BQ46" i="18"/>
  <c r="BQ14" i="17"/>
  <c r="AO14" i="17" s="1"/>
  <c r="BC16" i="17"/>
  <c r="BQ19" i="17"/>
  <c r="AO19" i="17" s="1"/>
  <c r="BQ22" i="17"/>
  <c r="AR22" i="17" s="1"/>
  <c r="BQ27" i="17"/>
  <c r="AR27" i="17" s="1"/>
  <c r="BQ29" i="17"/>
  <c r="AR29" i="17" s="1"/>
  <c r="BQ31" i="17"/>
  <c r="AO31" i="17" s="1"/>
  <c r="BQ33" i="17"/>
  <c r="AO33" i="17" s="1"/>
  <c r="BQ35" i="17"/>
  <c r="AO35" i="17" s="1"/>
  <c r="BQ38" i="17"/>
  <c r="BQ41" i="17"/>
  <c r="BQ43" i="17"/>
  <c r="BQ45" i="17"/>
  <c r="BC14" i="16"/>
  <c r="BQ16" i="16"/>
  <c r="AO16" i="16" s="1"/>
  <c r="BQ18" i="16"/>
  <c r="AR18" i="16" s="1"/>
  <c r="BQ20" i="16"/>
  <c r="AO20" i="16" s="1"/>
  <c r="BQ22" i="16"/>
  <c r="AR22" i="16" s="1"/>
  <c r="BQ25" i="16"/>
  <c r="AO25" i="16" s="1"/>
  <c r="BQ31" i="16"/>
  <c r="BQ33" i="16"/>
  <c r="AO33" i="16" s="1"/>
  <c r="BQ46" i="16"/>
  <c r="AO46" i="16" s="1"/>
  <c r="BQ14" i="15"/>
  <c r="BQ15" i="15"/>
  <c r="BC20" i="15"/>
  <c r="BQ21" i="15"/>
  <c r="AO21" i="15" s="1"/>
  <c r="BQ22" i="15"/>
  <c r="AR22" i="15" s="1"/>
  <c r="BQ24" i="15"/>
  <c r="BQ29" i="15"/>
  <c r="AO29" i="15" s="1"/>
  <c r="BQ33" i="15"/>
  <c r="AO33" i="15" s="1"/>
  <c r="BQ37" i="15"/>
  <c r="BQ41" i="15"/>
  <c r="BQ43" i="15"/>
  <c r="BQ16" i="14"/>
  <c r="AO16" i="14" s="1"/>
  <c r="BQ19" i="14"/>
  <c r="AO19" i="14" s="1"/>
  <c r="BQ23" i="14"/>
  <c r="BQ37" i="14"/>
  <c r="AO37" i="14" s="1"/>
  <c r="BQ23" i="13"/>
  <c r="AR23" i="13" s="1"/>
  <c r="BQ25" i="13"/>
  <c r="AO25" i="13" s="1"/>
  <c r="BQ28" i="13"/>
  <c r="BC30" i="13"/>
  <c r="BQ32" i="13"/>
  <c r="AO32" i="13" s="1"/>
  <c r="BC34" i="13"/>
  <c r="BQ36" i="13"/>
  <c r="BC38" i="13"/>
  <c r="BQ43" i="13"/>
  <c r="AO43" i="13" s="1"/>
  <c r="BQ45" i="13"/>
  <c r="BQ13" i="12"/>
  <c r="AR13" i="12" s="1"/>
  <c r="BQ16" i="12"/>
  <c r="AR16" i="12" s="1"/>
  <c r="BQ20" i="12"/>
  <c r="BQ41" i="12"/>
  <c r="BQ43" i="12"/>
  <c r="BC13" i="11"/>
  <c r="BC15" i="11"/>
  <c r="BQ17" i="11"/>
  <c r="AR17" i="11" s="1"/>
  <c r="BQ21" i="11"/>
  <c r="AR21" i="11" s="1"/>
  <c r="BQ26" i="11"/>
  <c r="BC29" i="11"/>
  <c r="BQ30" i="11"/>
  <c r="AO30" i="11" s="1"/>
  <c r="BQ34" i="11"/>
  <c r="AO34" i="11" s="1"/>
  <c r="BQ38" i="11"/>
  <c r="AO38" i="11" s="1"/>
  <c r="BQ17" i="10"/>
  <c r="AR17" i="10" s="1"/>
  <c r="BQ26" i="10"/>
  <c r="AR26" i="10" s="1"/>
  <c r="BC33" i="11"/>
  <c r="BC35" i="11"/>
  <c r="BC37" i="11"/>
  <c r="BC39" i="11"/>
  <c r="BQ41" i="11"/>
  <c r="BQ43" i="11"/>
  <c r="BQ45" i="11"/>
  <c r="AR45" i="11" s="1"/>
  <c r="BC14" i="10"/>
  <c r="BQ16" i="10"/>
  <c r="AR16" i="10" s="1"/>
  <c r="BQ20" i="10"/>
  <c r="BQ22" i="10"/>
  <c r="AR22" i="10" s="1"/>
  <c r="BQ24" i="10"/>
  <c r="AR24" i="10" s="1"/>
  <c r="BC30" i="10"/>
  <c r="BC38" i="10"/>
  <c r="BQ40" i="10"/>
  <c r="AO40" i="10" s="1"/>
  <c r="BC43" i="10"/>
  <c r="BQ44" i="10"/>
  <c r="BQ17" i="9"/>
  <c r="AR17" i="9" s="1"/>
  <c r="BQ27" i="9"/>
  <c r="AR27" i="9" s="1"/>
  <c r="BC29" i="9"/>
  <c r="BQ31" i="9"/>
  <c r="BC33" i="9"/>
  <c r="BQ35" i="9"/>
  <c r="AR35" i="9" s="1"/>
  <c r="BC37" i="9"/>
  <c r="BQ39" i="9"/>
  <c r="BQ17" i="8"/>
  <c r="AR17" i="8" s="1"/>
  <c r="BC19" i="8"/>
  <c r="BQ19" i="8"/>
  <c r="AR19" i="8" s="1"/>
  <c r="BC26" i="8"/>
  <c r="BC28" i="8"/>
  <c r="BQ28" i="8"/>
  <c r="AR28" i="8" s="1"/>
  <c r="BQ41" i="8"/>
  <c r="BQ43" i="8"/>
  <c r="BQ45" i="8"/>
  <c r="BQ46" i="8"/>
  <c r="AO46" i="8" s="1"/>
  <c r="BQ16" i="28"/>
  <c r="AR16" i="28" s="1"/>
  <c r="BC18" i="28"/>
  <c r="BC21" i="28"/>
  <c r="BQ22" i="28"/>
  <c r="AR22" i="28" s="1"/>
  <c r="BC26" i="28"/>
  <c r="BQ26" i="28"/>
  <c r="AR26" i="28" s="1"/>
  <c r="BC28" i="28"/>
  <c r="BQ28" i="28"/>
  <c r="AR28" i="28" s="1"/>
  <c r="BC30" i="28"/>
  <c r="BQ30" i="28"/>
  <c r="AO30" i="28" s="1"/>
  <c r="BC32" i="28"/>
  <c r="BQ32" i="28"/>
  <c r="AO32" i="28" s="1"/>
  <c r="BC34" i="28"/>
  <c r="BQ34" i="28"/>
  <c r="AO34" i="28" s="1"/>
  <c r="BC36" i="28"/>
  <c r="BQ36" i="28"/>
  <c r="AO36" i="28" s="1"/>
  <c r="BC38" i="28"/>
  <c r="BQ38" i="28"/>
  <c r="AO38" i="28" s="1"/>
  <c r="BC25" i="11"/>
  <c r="BQ27" i="11"/>
  <c r="BC30" i="11"/>
  <c r="BC32" i="11"/>
  <c r="BC34" i="11"/>
  <c r="BC36" i="11"/>
  <c r="BC38" i="11"/>
  <c r="BQ40" i="11"/>
  <c r="BQ42" i="11"/>
  <c r="AO42" i="11" s="1"/>
  <c r="BQ44" i="11"/>
  <c r="BQ46" i="11"/>
  <c r="BQ14" i="10"/>
  <c r="AR14" i="10" s="1"/>
  <c r="BC16" i="10"/>
  <c r="BQ19" i="10"/>
  <c r="AO19" i="10" s="1"/>
  <c r="BQ21" i="10"/>
  <c r="BC25" i="10"/>
  <c r="BC34" i="10"/>
  <c r="BC37" i="10"/>
  <c r="BQ37" i="10"/>
  <c r="BC39" i="10"/>
  <c r="BQ39" i="10"/>
  <c r="AO39" i="10" s="1"/>
  <c r="BC41" i="10"/>
  <c r="BQ42" i="10"/>
  <c r="BC45" i="10"/>
  <c r="BC46" i="10"/>
  <c r="BQ46" i="10"/>
  <c r="BQ13" i="9"/>
  <c r="AO13" i="9" s="1"/>
  <c r="BQ15" i="9"/>
  <c r="AO15" i="9" s="1"/>
  <c r="BC24" i="9"/>
  <c r="BQ24" i="9"/>
  <c r="AR24" i="9" s="1"/>
  <c r="BC27" i="9"/>
  <c r="BQ29" i="9"/>
  <c r="BC31" i="9"/>
  <c r="BQ33" i="9"/>
  <c r="BC35" i="9"/>
  <c r="BQ37" i="9"/>
  <c r="BC39" i="9"/>
  <c r="BC14" i="8"/>
  <c r="BQ15" i="8"/>
  <c r="AR15" i="8" s="1"/>
  <c r="BQ18" i="8"/>
  <c r="AR18" i="8" s="1"/>
  <c r="BC24" i="8"/>
  <c r="BQ24" i="8"/>
  <c r="BQ25" i="8"/>
  <c r="BC27" i="8"/>
  <c r="BQ27" i="8"/>
  <c r="AR27" i="8" s="1"/>
  <c r="BC34" i="8"/>
  <c r="BC36" i="8"/>
  <c r="BC38" i="8"/>
  <c r="BQ40" i="8"/>
  <c r="AO40" i="8" s="1"/>
  <c r="BQ42" i="8"/>
  <c r="BQ44" i="8"/>
  <c r="BQ14" i="28"/>
  <c r="AO14" i="28" s="1"/>
  <c r="BQ17" i="28"/>
  <c r="AR17" i="28" s="1"/>
  <c r="BQ19" i="28"/>
  <c r="BQ23" i="28"/>
  <c r="AO23" i="28" s="1"/>
  <c r="BQ40" i="28"/>
  <c r="AR40" i="28" s="1"/>
  <c r="BQ42" i="28"/>
  <c r="AO42" i="28" s="1"/>
  <c r="BQ44" i="28"/>
  <c r="AR44" i="28" s="1"/>
  <c r="BQ46" i="28"/>
  <c r="AR46" i="28" s="1"/>
  <c r="BQ31" i="10"/>
  <c r="AO31" i="10" s="1"/>
  <c r="BQ43" i="10"/>
  <c r="BQ14" i="9"/>
  <c r="AO14" i="9" s="1"/>
  <c r="BQ18" i="9"/>
  <c r="AR18" i="9" s="1"/>
  <c r="BQ20" i="9"/>
  <c r="AR20" i="9" s="1"/>
  <c r="BQ22" i="9"/>
  <c r="AR22" i="9" s="1"/>
  <c r="BQ30" i="9"/>
  <c r="BQ34" i="9"/>
  <c r="AO34" i="9" s="1"/>
  <c r="BQ38" i="9"/>
  <c r="BQ40" i="9"/>
  <c r="BQ42" i="9"/>
  <c r="BQ44" i="9"/>
  <c r="AO44" i="9" s="1"/>
  <c r="BQ46" i="9"/>
  <c r="BQ16" i="8"/>
  <c r="AR16" i="8" s="1"/>
  <c r="BQ20" i="8"/>
  <c r="AO20" i="8" s="1"/>
  <c r="BQ22" i="8"/>
  <c r="AR22" i="8" s="1"/>
  <c r="BC29" i="8"/>
  <c r="BQ29" i="8"/>
  <c r="BC31" i="8"/>
  <c r="BQ31" i="8"/>
  <c r="AO31" i="8" s="1"/>
  <c r="BC33" i="8"/>
  <c r="BQ33" i="8"/>
  <c r="BQ35" i="8"/>
  <c r="BQ37" i="8"/>
  <c r="AO37" i="8" s="1"/>
  <c r="BC39" i="8"/>
  <c r="BQ39" i="8"/>
  <c r="BQ13" i="28"/>
  <c r="BC19" i="28"/>
  <c r="BQ20" i="28"/>
  <c r="AR20" i="28" s="1"/>
  <c r="BC23" i="28"/>
  <c r="BC27" i="28"/>
  <c r="BQ27" i="28"/>
  <c r="AR27" i="28" s="1"/>
  <c r="BC29" i="28"/>
  <c r="BQ29" i="28"/>
  <c r="AR29" i="28" s="1"/>
  <c r="BC31" i="28"/>
  <c r="BQ31" i="28"/>
  <c r="AO31" i="28" s="1"/>
  <c r="BC33" i="28"/>
  <c r="BQ33" i="28"/>
  <c r="AO33" i="28" s="1"/>
  <c r="BC35" i="28"/>
  <c r="BQ35" i="28"/>
  <c r="AO35" i="28" s="1"/>
  <c r="BC37" i="28"/>
  <c r="BQ37" i="28"/>
  <c r="AO37" i="28" s="1"/>
  <c r="BC39" i="28"/>
  <c r="BQ39" i="28"/>
  <c r="AO39" i="28" s="1"/>
  <c r="AR19" i="28"/>
  <c r="AO19" i="28"/>
  <c r="BQ15" i="28"/>
  <c r="AO16" i="28"/>
  <c r="BC14" i="28"/>
  <c r="BC15" i="28"/>
  <c r="BC16" i="28"/>
  <c r="BC17" i="28"/>
  <c r="AR21" i="28"/>
  <c r="AO21" i="28"/>
  <c r="AB44" i="28"/>
  <c r="AB45" i="28" s="1"/>
  <c r="AB46" i="28" s="1"/>
  <c r="AR25" i="28"/>
  <c r="AO25" i="28"/>
  <c r="AR31" i="28"/>
  <c r="AR36" i="28"/>
  <c r="AR38" i="28"/>
  <c r="BQ24" i="28"/>
  <c r="AR13" i="8"/>
  <c r="AO13" i="8"/>
  <c r="AR23" i="8"/>
  <c r="AO23" i="8"/>
  <c r="AB46" i="8"/>
  <c r="AB44" i="8"/>
  <c r="AR24" i="8"/>
  <c r="AO24" i="8"/>
  <c r="AO25" i="8"/>
  <c r="AR25" i="8"/>
  <c r="AO34" i="8"/>
  <c r="AR34" i="8"/>
  <c r="AO36" i="8"/>
  <c r="AR36" i="8"/>
  <c r="AO38" i="8"/>
  <c r="AR38" i="8"/>
  <c r="BC20" i="8"/>
  <c r="BC21" i="8"/>
  <c r="BC22" i="8"/>
  <c r="BC23" i="8"/>
  <c r="AO32" i="8"/>
  <c r="AR32" i="8"/>
  <c r="AR40" i="8"/>
  <c r="AO42" i="8"/>
  <c r="AR42" i="8"/>
  <c r="AO44" i="8"/>
  <c r="AR44" i="8"/>
  <c r="AO33" i="8"/>
  <c r="AR33" i="8"/>
  <c r="AO35" i="8"/>
  <c r="AR35" i="8"/>
  <c r="AO39" i="8"/>
  <c r="AR39" i="8"/>
  <c r="BQ26" i="8"/>
  <c r="BC30" i="8"/>
  <c r="AO30" i="8"/>
  <c r="AR30" i="8"/>
  <c r="AO41" i="8"/>
  <c r="AR41" i="8"/>
  <c r="AO43" i="8"/>
  <c r="AR43" i="8"/>
  <c r="AO45" i="8"/>
  <c r="AR45" i="8"/>
  <c r="AB46" i="9"/>
  <c r="AB44" i="9"/>
  <c r="BQ26" i="9"/>
  <c r="AR28" i="9"/>
  <c r="AO28" i="9"/>
  <c r="AO31" i="9"/>
  <c r="AR31" i="9"/>
  <c r="AO39" i="9"/>
  <c r="AR39" i="9"/>
  <c r="AO25" i="9"/>
  <c r="AR25" i="9"/>
  <c r="AO32" i="9"/>
  <c r="AR32" i="9"/>
  <c r="AO36" i="9"/>
  <c r="AR36" i="9"/>
  <c r="AO41" i="9"/>
  <c r="AR41" i="9"/>
  <c r="AO43" i="9"/>
  <c r="AR43" i="9"/>
  <c r="AO45" i="9"/>
  <c r="AR45" i="9"/>
  <c r="AR29" i="9"/>
  <c r="AO29" i="9"/>
  <c r="AO33" i="9"/>
  <c r="AR33" i="9"/>
  <c r="AO37" i="9"/>
  <c r="AR37" i="9"/>
  <c r="AO30" i="9"/>
  <c r="AR30" i="9"/>
  <c r="AR34" i="9"/>
  <c r="AO38" i="9"/>
  <c r="AR38" i="9"/>
  <c r="AO40" i="9"/>
  <c r="AR40" i="9"/>
  <c r="AO42" i="9"/>
  <c r="AR42" i="9"/>
  <c r="AR44" i="9"/>
  <c r="AO46" i="9"/>
  <c r="AR46" i="9"/>
  <c r="AR19" i="10"/>
  <c r="AR21" i="10"/>
  <c r="AO21" i="10"/>
  <c r="AO42" i="10"/>
  <c r="AR42" i="10"/>
  <c r="AO46" i="10"/>
  <c r="AR46" i="10"/>
  <c r="AR13" i="10"/>
  <c r="AO13" i="10"/>
  <c r="AR18" i="10"/>
  <c r="AO18" i="10"/>
  <c r="AB46" i="10"/>
  <c r="AB44" i="10"/>
  <c r="AO26" i="10"/>
  <c r="AO43" i="10"/>
  <c r="AR43" i="10"/>
  <c r="AR20" i="10"/>
  <c r="AO20" i="10"/>
  <c r="AR40" i="10"/>
  <c r="AO44" i="10"/>
  <c r="AR44" i="10"/>
  <c r="AO25" i="10"/>
  <c r="AR25" i="10"/>
  <c r="AO41" i="10"/>
  <c r="AR41" i="10"/>
  <c r="AO45" i="10"/>
  <c r="AR45" i="10"/>
  <c r="BC19" i="10"/>
  <c r="BC20" i="10"/>
  <c r="BC21" i="10"/>
  <c r="BC22" i="10"/>
  <c r="BC23" i="10"/>
  <c r="BQ23" i="10"/>
  <c r="AO27" i="10"/>
  <c r="BQ28" i="10"/>
  <c r="AR31" i="10"/>
  <c r="BQ32" i="10"/>
  <c r="AR35" i="10"/>
  <c r="BQ36" i="10"/>
  <c r="BQ29" i="10"/>
  <c r="BQ33" i="10"/>
  <c r="BQ30" i="10"/>
  <c r="BQ34" i="10"/>
  <c r="BQ38" i="10"/>
  <c r="AB46" i="11"/>
  <c r="AB44" i="11"/>
  <c r="AR42" i="11"/>
  <c r="AO46" i="11"/>
  <c r="AR46" i="11"/>
  <c r="AO25" i="11"/>
  <c r="AR25" i="11"/>
  <c r="AR26" i="11"/>
  <c r="AO26" i="11"/>
  <c r="AR24" i="11"/>
  <c r="AO24" i="11"/>
  <c r="AO40" i="11"/>
  <c r="AR40" i="11"/>
  <c r="AO44" i="11"/>
  <c r="AR44" i="11"/>
  <c r="AO41" i="11"/>
  <c r="AR41" i="11"/>
  <c r="AO43" i="11"/>
  <c r="AR43" i="11"/>
  <c r="AO29" i="11"/>
  <c r="AR30" i="11"/>
  <c r="AR32" i="11"/>
  <c r="AR33" i="11"/>
  <c r="AR34" i="11"/>
  <c r="AR35" i="11"/>
  <c r="AR36" i="11"/>
  <c r="AR37" i="11"/>
  <c r="AR38" i="11"/>
  <c r="AR39" i="11"/>
  <c r="BQ28" i="11"/>
  <c r="AO29" i="12"/>
  <c r="AR29" i="12"/>
  <c r="AR33" i="12"/>
  <c r="AO33" i="12"/>
  <c r="AR37" i="12"/>
  <c r="AO37" i="12"/>
  <c r="AO40" i="12"/>
  <c r="AR40" i="12"/>
  <c r="AR35" i="12"/>
  <c r="AO35" i="12"/>
  <c r="AR30" i="12"/>
  <c r="AO30" i="12"/>
  <c r="AR32" i="12"/>
  <c r="AO32" i="12"/>
  <c r="AR34" i="12"/>
  <c r="AO34" i="12"/>
  <c r="AR36" i="12"/>
  <c r="AO36" i="12"/>
  <c r="AR38" i="12"/>
  <c r="AO38" i="12"/>
  <c r="AB44" i="12"/>
  <c r="AB46" i="12"/>
  <c r="AO44" i="12"/>
  <c r="AR44" i="12"/>
  <c r="AR42" i="12"/>
  <c r="AO42" i="12"/>
  <c r="BQ14" i="12"/>
  <c r="AR41" i="12"/>
  <c r="AO41" i="12"/>
  <c r="AR45" i="12"/>
  <c r="AO45" i="12"/>
  <c r="AO27" i="12"/>
  <c r="AR27" i="12"/>
  <c r="BQ15" i="12"/>
  <c r="BQ28" i="12"/>
  <c r="AR43" i="12"/>
  <c r="AO43" i="12"/>
  <c r="BQ24" i="12"/>
  <c r="BC28" i="12"/>
  <c r="BQ26" i="12"/>
  <c r="BC27" i="12"/>
  <c r="BC29" i="12"/>
  <c r="BC30" i="12"/>
  <c r="BC31" i="12"/>
  <c r="BC32" i="12"/>
  <c r="BC33" i="12"/>
  <c r="BC34" i="12"/>
  <c r="BC35" i="12"/>
  <c r="BC36" i="12"/>
  <c r="BC37" i="12"/>
  <c r="BC38" i="12"/>
  <c r="BC39" i="12"/>
  <c r="AB46" i="13"/>
  <c r="AB44" i="13"/>
  <c r="AO17" i="13"/>
  <c r="AR17" i="13"/>
  <c r="AR13" i="13"/>
  <c r="AO13" i="13"/>
  <c r="AR30" i="13"/>
  <c r="AO34" i="13"/>
  <c r="AR34" i="13"/>
  <c r="AO38" i="13"/>
  <c r="AR38" i="13"/>
  <c r="AO41" i="13"/>
  <c r="AR41" i="13"/>
  <c r="AR44" i="13"/>
  <c r="AO31" i="13"/>
  <c r="AR31" i="13"/>
  <c r="AO35" i="13"/>
  <c r="AR35" i="13"/>
  <c r="AO39" i="13"/>
  <c r="AR39" i="13"/>
  <c r="AO40" i="13"/>
  <c r="AR40" i="13"/>
  <c r="BQ24" i="13"/>
  <c r="AR28" i="13"/>
  <c r="AO28" i="13"/>
  <c r="AO36" i="13"/>
  <c r="AR36" i="13"/>
  <c r="AO45" i="13"/>
  <c r="AR45" i="13"/>
  <c r="AR29" i="13"/>
  <c r="AO29" i="13"/>
  <c r="AO33" i="13"/>
  <c r="AR33" i="13"/>
  <c r="AO37" i="13"/>
  <c r="AR37" i="13"/>
  <c r="AR42" i="13"/>
  <c r="AO46" i="13"/>
  <c r="AR46" i="13"/>
  <c r="AR22" i="14"/>
  <c r="AO22" i="14"/>
  <c r="AO40" i="14"/>
  <c r="AR40" i="14"/>
  <c r="AO42" i="14"/>
  <c r="AR42" i="14"/>
  <c r="AO44" i="14"/>
  <c r="AR44" i="14"/>
  <c r="AO46" i="14"/>
  <c r="AR46" i="14"/>
  <c r="AR23" i="14"/>
  <c r="AO23" i="14"/>
  <c r="AO24" i="14"/>
  <c r="AR24" i="14"/>
  <c r="AR26" i="14"/>
  <c r="AO26" i="14"/>
  <c r="AO41" i="14"/>
  <c r="AR41" i="14"/>
  <c r="AO43" i="14"/>
  <c r="AR43" i="14"/>
  <c r="AO45" i="14"/>
  <c r="AR45" i="14"/>
  <c r="AB46" i="14"/>
  <c r="AB44" i="14"/>
  <c r="AR21" i="14"/>
  <c r="AO21" i="14"/>
  <c r="AO25" i="14"/>
  <c r="AR25" i="14"/>
  <c r="BQ34" i="14"/>
  <c r="BQ38" i="14"/>
  <c r="BQ35" i="14"/>
  <c r="AR37" i="14"/>
  <c r="BQ39" i="14"/>
  <c r="BQ27" i="14"/>
  <c r="BQ29" i="14"/>
  <c r="BQ30" i="14"/>
  <c r="BQ31" i="14"/>
  <c r="BQ32" i="14"/>
  <c r="BQ33" i="14"/>
  <c r="BQ36" i="14"/>
  <c r="BC19" i="14"/>
  <c r="BC20" i="14"/>
  <c r="BC21" i="14"/>
  <c r="BC22" i="14"/>
  <c r="BC23" i="14"/>
  <c r="AR42" i="15"/>
  <c r="AO42" i="15"/>
  <c r="AO46" i="15"/>
  <c r="AR46" i="15"/>
  <c r="AB46" i="15"/>
  <c r="AB44" i="15"/>
  <c r="AO25" i="15"/>
  <c r="AR25" i="15"/>
  <c r="BC13" i="15"/>
  <c r="AR27" i="15"/>
  <c r="AR29" i="15"/>
  <c r="BQ45" i="15"/>
  <c r="BC14" i="15"/>
  <c r="BC15" i="15"/>
  <c r="BC16" i="15"/>
  <c r="BC17" i="15"/>
  <c r="AO30" i="15"/>
  <c r="AR30" i="15"/>
  <c r="AO31" i="15"/>
  <c r="AR31" i="15"/>
  <c r="AO32" i="15"/>
  <c r="AR32" i="15"/>
  <c r="AR33" i="15"/>
  <c r="AO34" i="15"/>
  <c r="AR34" i="15"/>
  <c r="AO35" i="15"/>
  <c r="AR35" i="15"/>
  <c r="AO36" i="15"/>
  <c r="AR36" i="15"/>
  <c r="AO37" i="15"/>
  <c r="AR37" i="15"/>
  <c r="AO38" i="15"/>
  <c r="AR38" i="15"/>
  <c r="AO39" i="15"/>
  <c r="AR39" i="15"/>
  <c r="AO41" i="15"/>
  <c r="AR41" i="15"/>
  <c r="AO44" i="15"/>
  <c r="AR44" i="15"/>
  <c r="AR40" i="15"/>
  <c r="AO40" i="15"/>
  <c r="AO43" i="15"/>
  <c r="AR43" i="15"/>
  <c r="BQ26" i="15"/>
  <c r="AR16" i="16"/>
  <c r="AB46" i="16"/>
  <c r="AB44" i="16"/>
  <c r="AR46" i="16"/>
  <c r="AR21" i="16"/>
  <c r="AO21" i="16"/>
  <c r="AR23" i="16"/>
  <c r="AO23" i="16"/>
  <c r="AO41" i="16"/>
  <c r="BC23" i="16"/>
  <c r="BC27" i="16"/>
  <c r="BQ27" i="16"/>
  <c r="BQ28" i="16"/>
  <c r="BQ30" i="16"/>
  <c r="BQ34" i="16"/>
  <c r="BQ38" i="16"/>
  <c r="BQ26" i="16"/>
  <c r="AO29" i="16"/>
  <c r="AR33" i="16"/>
  <c r="AR37" i="16"/>
  <c r="BQ32" i="16"/>
  <c r="BQ36" i="16"/>
  <c r="AB46" i="17"/>
  <c r="AB44" i="17"/>
  <c r="AO40" i="17"/>
  <c r="AR40" i="17"/>
  <c r="AO42" i="17"/>
  <c r="AR42" i="17"/>
  <c r="AO44" i="17"/>
  <c r="AR44" i="17"/>
  <c r="AO46" i="17"/>
  <c r="AR46" i="17"/>
  <c r="AR17" i="17"/>
  <c r="AO17" i="17"/>
  <c r="AR21" i="17"/>
  <c r="AO21" i="17"/>
  <c r="AO25" i="17"/>
  <c r="AR25" i="17"/>
  <c r="AR14" i="17"/>
  <c r="AO22" i="17"/>
  <c r="AO41" i="17"/>
  <c r="AR41" i="17"/>
  <c r="AO43" i="17"/>
  <c r="AR43" i="17"/>
  <c r="AO45" i="17"/>
  <c r="AR45" i="17"/>
  <c r="AR23" i="17"/>
  <c r="AO23" i="17"/>
  <c r="BC38" i="17"/>
  <c r="BC39" i="17"/>
  <c r="AO27" i="17"/>
  <c r="AO28" i="17"/>
  <c r="AO29" i="17"/>
  <c r="AR30" i="17"/>
  <c r="AR31" i="17"/>
  <c r="AR32" i="17"/>
  <c r="AR33" i="17"/>
  <c r="AR34" i="17"/>
  <c r="AR35" i="17"/>
  <c r="AR36" i="17"/>
  <c r="BQ24" i="17"/>
  <c r="AR23" i="18"/>
  <c r="AO23" i="18"/>
  <c r="AO40" i="18"/>
  <c r="AR40" i="18"/>
  <c r="AO42" i="18"/>
  <c r="AR42" i="18"/>
  <c r="AO44" i="18"/>
  <c r="AR44" i="18"/>
  <c r="AO17" i="18"/>
  <c r="AO20" i="18"/>
  <c r="AB46" i="18"/>
  <c r="AB44" i="18"/>
  <c r="AO46" i="18"/>
  <c r="AR46" i="18"/>
  <c r="AR21" i="18"/>
  <c r="AO21" i="18"/>
  <c r="AO41" i="18"/>
  <c r="AR41" i="18"/>
  <c r="AO43" i="18"/>
  <c r="AR43" i="18"/>
  <c r="AO45" i="18"/>
  <c r="AR45" i="18"/>
  <c r="BQ24" i="18"/>
  <c r="BC23" i="18"/>
  <c r="BQ26" i="18"/>
  <c r="AO27" i="18"/>
  <c r="AO28" i="18"/>
  <c r="AO29" i="18"/>
  <c r="AR30" i="18"/>
  <c r="AR31" i="18"/>
  <c r="AR32" i="18"/>
  <c r="AR33" i="18"/>
  <c r="AR34" i="18"/>
  <c r="AR35" i="18"/>
  <c r="AR36" i="18"/>
  <c r="AR37" i="18"/>
  <c r="AR38" i="18"/>
  <c r="AR39" i="18"/>
  <c r="AR22" i="19"/>
  <c r="AO22" i="19"/>
  <c r="AR15" i="19"/>
  <c r="AR21" i="19"/>
  <c r="AR23" i="19"/>
  <c r="AO23" i="19"/>
  <c r="AB46" i="19"/>
  <c r="AB44" i="19"/>
  <c r="AO25" i="19"/>
  <c r="AR25" i="19"/>
  <c r="AR29" i="19"/>
  <c r="AO29" i="19"/>
  <c r="AO32" i="19"/>
  <c r="AR32" i="19"/>
  <c r="AO36" i="19"/>
  <c r="AR36" i="19"/>
  <c r="AO40" i="19"/>
  <c r="AR40" i="19"/>
  <c r="AO42" i="19"/>
  <c r="AR42" i="19"/>
  <c r="AO44" i="19"/>
  <c r="AR44" i="19"/>
  <c r="AR26" i="19"/>
  <c r="AO26" i="19"/>
  <c r="AO33" i="19"/>
  <c r="AR33" i="19"/>
  <c r="AO37" i="19"/>
  <c r="AR37" i="19"/>
  <c r="AO24" i="19"/>
  <c r="AR27" i="19"/>
  <c r="AO27" i="19"/>
  <c r="AO30" i="19"/>
  <c r="AR30" i="19"/>
  <c r="AO34" i="19"/>
  <c r="AR34" i="19"/>
  <c r="AO38" i="19"/>
  <c r="AR38" i="19"/>
  <c r="AO41" i="19"/>
  <c r="AR41" i="19"/>
  <c r="AO43" i="19"/>
  <c r="AR43" i="19"/>
  <c r="AO45" i="19"/>
  <c r="AR45" i="19"/>
  <c r="AR28" i="19"/>
  <c r="AO28" i="19"/>
  <c r="AO31" i="19"/>
  <c r="AR31" i="19"/>
  <c r="AO35" i="19"/>
  <c r="AR35" i="19"/>
  <c r="AO39" i="19"/>
  <c r="AR39" i="19"/>
  <c r="AO46" i="19"/>
  <c r="AR46" i="19"/>
  <c r="AO46" i="20"/>
  <c r="AR46" i="20"/>
  <c r="AO20" i="20"/>
  <c r="AR22" i="20"/>
  <c r="AO22" i="20"/>
  <c r="AR24" i="20"/>
  <c r="AO24" i="20"/>
  <c r="AO40" i="20"/>
  <c r="AR40" i="20"/>
  <c r="AO42" i="20"/>
  <c r="AR42" i="20"/>
  <c r="AO44" i="20"/>
  <c r="AR44" i="20"/>
  <c r="AR17" i="20"/>
  <c r="AO17" i="20"/>
  <c r="AB46" i="20"/>
  <c r="AB44" i="20"/>
  <c r="AO23" i="20"/>
  <c r="AR23" i="20"/>
  <c r="AO25" i="20"/>
  <c r="AR25" i="20"/>
  <c r="AO41" i="20"/>
  <c r="AR41" i="20"/>
  <c r="AO43" i="20"/>
  <c r="AR43" i="20"/>
  <c r="AO45" i="20"/>
  <c r="AR45" i="20"/>
  <c r="BC19" i="20"/>
  <c r="BC20" i="20"/>
  <c r="BC21" i="20"/>
  <c r="BC22" i="20"/>
  <c r="BC23" i="20"/>
  <c r="BQ26" i="20"/>
  <c r="AO27" i="20"/>
  <c r="AO29" i="20"/>
  <c r="BQ30" i="20"/>
  <c r="BQ34" i="20"/>
  <c r="BQ38" i="20"/>
  <c r="AR33" i="20"/>
  <c r="AR37" i="20"/>
  <c r="BQ28" i="20"/>
  <c r="BQ32" i="20"/>
  <c r="BQ36" i="20"/>
  <c r="AO46" i="21"/>
  <c r="AR46" i="21"/>
  <c r="AR13" i="21"/>
  <c r="AO13" i="21"/>
  <c r="AO40" i="21"/>
  <c r="AR40" i="21"/>
  <c r="AO42" i="21"/>
  <c r="AR42" i="21"/>
  <c r="AO44" i="21"/>
  <c r="AR44" i="21"/>
  <c r="AB46" i="21"/>
  <c r="AB44" i="21"/>
  <c r="AO25" i="21"/>
  <c r="AR25" i="21"/>
  <c r="AR23" i="21"/>
  <c r="AO23" i="21"/>
  <c r="AO41" i="21"/>
  <c r="AR41" i="21"/>
  <c r="AO43" i="21"/>
  <c r="AR43" i="21"/>
  <c r="AO45" i="21"/>
  <c r="AR45" i="21"/>
  <c r="BQ34" i="21"/>
  <c r="BQ38" i="21"/>
  <c r="BQ27" i="21"/>
  <c r="BQ28" i="21"/>
  <c r="BQ29" i="21"/>
  <c r="BQ30" i="21"/>
  <c r="BQ31" i="21"/>
  <c r="AR33" i="21"/>
  <c r="BQ35" i="21"/>
  <c r="AR37" i="21"/>
  <c r="BQ39" i="21"/>
  <c r="BC19" i="21"/>
  <c r="BC20" i="21"/>
  <c r="BC21" i="21"/>
  <c r="BC22" i="21"/>
  <c r="BC23" i="21"/>
  <c r="BQ26" i="21"/>
  <c r="BQ32" i="21"/>
  <c r="BQ36" i="21"/>
  <c r="AR21" i="8" l="1"/>
  <c r="AO14" i="8"/>
  <c r="AR15" i="9"/>
  <c r="AO24" i="10"/>
  <c r="AO22" i="10"/>
  <c r="AO14" i="10"/>
  <c r="AO21" i="11"/>
  <c r="AO20" i="11"/>
  <c r="AO13" i="16"/>
  <c r="AR25" i="18"/>
  <c r="AO22" i="18"/>
  <c r="AO19" i="18"/>
  <c r="C461" i="24"/>
  <c r="F461" i="24" s="1"/>
  <c r="A462" i="24"/>
  <c r="A451" i="24"/>
  <c r="C450" i="24"/>
  <c r="F450" i="24" s="1"/>
  <c r="AO20" i="9"/>
  <c r="AO22" i="9"/>
  <c r="AR15" i="10"/>
  <c r="AO26" i="13"/>
  <c r="AO27" i="13"/>
  <c r="AR17" i="19"/>
  <c r="AR13" i="19"/>
  <c r="AO21" i="20"/>
  <c r="AR14" i="21"/>
  <c r="AR22" i="21"/>
  <c r="AO21" i="21"/>
  <c r="AO20" i="21"/>
  <c r="AR20" i="8"/>
  <c r="AO16" i="8"/>
  <c r="AO23" i="9"/>
  <c r="AR21" i="9"/>
  <c r="AR14" i="9"/>
  <c r="AO16" i="11"/>
  <c r="AR25" i="13"/>
  <c r="AR16" i="13"/>
  <c r="AO14" i="14"/>
  <c r="AO20" i="15"/>
  <c r="AR19" i="15"/>
  <c r="AR18" i="15"/>
  <c r="AR19" i="17"/>
  <c r="AO18" i="17"/>
  <c r="AO15" i="17"/>
  <c r="AO13" i="18"/>
  <c r="AS52" i="18" s="1"/>
  <c r="AO20" i="19"/>
  <c r="AO13" i="20"/>
  <c r="AO18" i="21"/>
  <c r="AU21" i="30"/>
  <c r="X21" i="30" s="1"/>
  <c r="F349" i="24"/>
  <c r="V20" i="30"/>
  <c r="D338" i="24" s="1"/>
  <c r="G338" i="24" s="1"/>
  <c r="V18" i="30"/>
  <c r="D336" i="24" s="1"/>
  <c r="G336" i="24" s="1"/>
  <c r="V16" i="30"/>
  <c r="D334" i="24" s="1"/>
  <c r="G334" i="24" s="1"/>
  <c r="V19" i="30"/>
  <c r="D337" i="24" s="1"/>
  <c r="G337" i="24" s="1"/>
  <c r="V35" i="30"/>
  <c r="D348" i="24" s="1"/>
  <c r="G348" i="24" s="1"/>
  <c r="AU32" i="30"/>
  <c r="X32" i="30" s="1"/>
  <c r="AU36" i="30"/>
  <c r="Y36" i="30" s="1"/>
  <c r="V30" i="30"/>
  <c r="D343" i="24" s="1"/>
  <c r="G343" i="24" s="1"/>
  <c r="F338" i="24"/>
  <c r="V31" i="30"/>
  <c r="D344" i="24" s="1"/>
  <c r="G344" i="24" s="1"/>
  <c r="AU15" i="30"/>
  <c r="Y15" i="30" s="1"/>
  <c r="V37" i="30"/>
  <c r="D350" i="24" s="1"/>
  <c r="G350" i="24" s="1"/>
  <c r="AU22" i="30"/>
  <c r="W22" i="30" s="1"/>
  <c r="A351" i="24"/>
  <c r="C350" i="24"/>
  <c r="F350" i="24" s="1"/>
  <c r="A395" i="24"/>
  <c r="C394" i="24"/>
  <c r="F394" i="24" s="1"/>
  <c r="AU14" i="30"/>
  <c r="X14" i="30" s="1"/>
  <c r="A360" i="24"/>
  <c r="C359" i="24"/>
  <c r="F359" i="24" s="1"/>
  <c r="A372" i="24"/>
  <c r="C371" i="24"/>
  <c r="F371" i="24" s="1"/>
  <c r="A415" i="24"/>
  <c r="C414" i="24"/>
  <c r="F414" i="24" s="1"/>
  <c r="V23" i="30"/>
  <c r="D341" i="24" s="1"/>
  <c r="G341" i="24" s="1"/>
  <c r="AU38" i="30"/>
  <c r="W38" i="30" s="1"/>
  <c r="AU17" i="30"/>
  <c r="W17" i="30" s="1"/>
  <c r="AU33" i="30"/>
  <c r="Y33" i="30" s="1"/>
  <c r="AU39" i="30"/>
  <c r="W39" i="30" s="1"/>
  <c r="AU34" i="30"/>
  <c r="W34" i="30" s="1"/>
  <c r="A340" i="24"/>
  <c r="C339" i="24"/>
  <c r="F339" i="24" s="1"/>
  <c r="A437" i="24"/>
  <c r="C436" i="24"/>
  <c r="F436" i="24" s="1"/>
  <c r="A427" i="24"/>
  <c r="C426" i="24"/>
  <c r="F426" i="24" s="1"/>
  <c r="A404" i="24"/>
  <c r="C403" i="24"/>
  <c r="F403" i="24" s="1"/>
  <c r="A383" i="24"/>
  <c r="C382" i="24"/>
  <c r="F382" i="24" s="1"/>
  <c r="AO18" i="8"/>
  <c r="AO15" i="8"/>
  <c r="AO19" i="8"/>
  <c r="AR19" i="9"/>
  <c r="AO16" i="9"/>
  <c r="AO17" i="9"/>
  <c r="AO16" i="10"/>
  <c r="AO23" i="11"/>
  <c r="AO19" i="11"/>
  <c r="AR18" i="11"/>
  <c r="AO13" i="11"/>
  <c r="AS52" i="11" s="1"/>
  <c r="AO21" i="12"/>
  <c r="AR17" i="12"/>
  <c r="AR19" i="13"/>
  <c r="AR18" i="13"/>
  <c r="AO15" i="13"/>
  <c r="AO20" i="13"/>
  <c r="AR19" i="14"/>
  <c r="AR16" i="15"/>
  <c r="AO22" i="15"/>
  <c r="AO13" i="17"/>
  <c r="AS52" i="17" s="1"/>
  <c r="AR18" i="18"/>
  <c r="AR14" i="18"/>
  <c r="AR16" i="18"/>
  <c r="AO14" i="19"/>
  <c r="AR16" i="19"/>
  <c r="AO19" i="20"/>
  <c r="AR52" i="30"/>
  <c r="L21" i="22" s="1"/>
  <c r="M9" i="26" s="1"/>
  <c r="AO52" i="30"/>
  <c r="J21" i="22" s="1"/>
  <c r="N9" i="26" s="1"/>
  <c r="AO17" i="8"/>
  <c r="AO24" i="9"/>
  <c r="AR13" i="9"/>
  <c r="AO22" i="11"/>
  <c r="AO17" i="11"/>
  <c r="AO15" i="11"/>
  <c r="AO14" i="11"/>
  <c r="AO18" i="12"/>
  <c r="AO16" i="12"/>
  <c r="AO13" i="12"/>
  <c r="AS52" i="12" s="1"/>
  <c r="AO22" i="13"/>
  <c r="AO21" i="13"/>
  <c r="AR14" i="13"/>
  <c r="AO20" i="14"/>
  <c r="AO18" i="14"/>
  <c r="AR17" i="14"/>
  <c r="AR16" i="14"/>
  <c r="AR15" i="14"/>
  <c r="AO13" i="14"/>
  <c r="AS52" i="14" s="1"/>
  <c r="AR23" i="15"/>
  <c r="AO15" i="16"/>
  <c r="AO14" i="16"/>
  <c r="AO20" i="17"/>
  <c r="AR16" i="17"/>
  <c r="AR15" i="18"/>
  <c r="AO19" i="19"/>
  <c r="AO18" i="19"/>
  <c r="AR18" i="20"/>
  <c r="AO16" i="20"/>
  <c r="AO15" i="20"/>
  <c r="AO14" i="20"/>
  <c r="AO19" i="21"/>
  <c r="AR17" i="21"/>
  <c r="AR16" i="21"/>
  <c r="AO15" i="21"/>
  <c r="AO26" i="28"/>
  <c r="AR45" i="28"/>
  <c r="AR43" i="28"/>
  <c r="AR14" i="28"/>
  <c r="AO18" i="28"/>
  <c r="AO22" i="28"/>
  <c r="AR35" i="28"/>
  <c r="AO40" i="28"/>
  <c r="AR34" i="28"/>
  <c r="AO17" i="28"/>
  <c r="AR32" i="28"/>
  <c r="AR41" i="28"/>
  <c r="AR39" i="28"/>
  <c r="AR30" i="28"/>
  <c r="AR42" i="28"/>
  <c r="AO28" i="28"/>
  <c r="AO44" i="28"/>
  <c r="AO27" i="28"/>
  <c r="Y35" i="30"/>
  <c r="X35" i="30"/>
  <c r="W35" i="30"/>
  <c r="W19" i="30"/>
  <c r="X19" i="30"/>
  <c r="Y19" i="30"/>
  <c r="Y37" i="30"/>
  <c r="X37" i="30"/>
  <c r="W37" i="30"/>
  <c r="W20" i="30"/>
  <c r="Y20" i="30"/>
  <c r="X20" i="30"/>
  <c r="Y30" i="30"/>
  <c r="X30" i="30"/>
  <c r="W30" i="30"/>
  <c r="W18" i="30"/>
  <c r="Y18" i="30"/>
  <c r="X18" i="30"/>
  <c r="W23" i="30"/>
  <c r="X23" i="30"/>
  <c r="Y23" i="30"/>
  <c r="Y31" i="30"/>
  <c r="X31" i="30"/>
  <c r="W31" i="30"/>
  <c r="W16" i="30"/>
  <c r="Y16" i="30"/>
  <c r="X16" i="30"/>
  <c r="B224" i="24"/>
  <c r="AR45" i="16"/>
  <c r="AR43" i="16"/>
  <c r="AR25" i="16"/>
  <c r="AO42" i="16"/>
  <c r="AR20" i="16"/>
  <c r="AR44" i="16"/>
  <c r="AO22" i="16"/>
  <c r="AR40" i="16"/>
  <c r="AO19" i="16"/>
  <c r="AO17" i="16"/>
  <c r="AO18" i="16"/>
  <c r="V16" i="12"/>
  <c r="D224" i="24" s="1"/>
  <c r="AT35" i="21"/>
  <c r="AU35" i="21" s="1"/>
  <c r="B40" i="24"/>
  <c r="AT15" i="21"/>
  <c r="V15" i="21" s="1"/>
  <c r="D25" i="24" s="1"/>
  <c r="B25" i="24"/>
  <c r="AT20" i="21"/>
  <c r="V20" i="21" s="1"/>
  <c r="D30" i="24" s="1"/>
  <c r="B30" i="24"/>
  <c r="AT31" i="20"/>
  <c r="AU31" i="20" s="1"/>
  <c r="B58" i="24"/>
  <c r="AT16" i="20"/>
  <c r="AU16" i="20" s="1"/>
  <c r="B48" i="24"/>
  <c r="AT20" i="19"/>
  <c r="AU20" i="19" s="1"/>
  <c r="B74" i="24"/>
  <c r="AT38" i="18"/>
  <c r="AU38" i="18" s="1"/>
  <c r="B109" i="24"/>
  <c r="AT22" i="18"/>
  <c r="AU22" i="18" s="1"/>
  <c r="B98" i="24"/>
  <c r="AT31" i="17"/>
  <c r="V31" i="17" s="1"/>
  <c r="D124" i="24" s="1"/>
  <c r="B124" i="24"/>
  <c r="AT39" i="17"/>
  <c r="AU39" i="17" s="1"/>
  <c r="B132" i="24"/>
  <c r="AT22" i="17"/>
  <c r="V22" i="17" s="1"/>
  <c r="D120" i="24" s="1"/>
  <c r="B120" i="24"/>
  <c r="AT30" i="16"/>
  <c r="AU30" i="16" s="1"/>
  <c r="B145" i="24"/>
  <c r="AT38" i="16"/>
  <c r="AU38" i="16" s="1"/>
  <c r="B153" i="24"/>
  <c r="AT18" i="16"/>
  <c r="AU18" i="16" s="1"/>
  <c r="B138" i="24"/>
  <c r="AT34" i="15"/>
  <c r="AU34" i="15" s="1"/>
  <c r="B171" i="24"/>
  <c r="AT15" i="15"/>
  <c r="AU15" i="15" s="1"/>
  <c r="B157" i="24"/>
  <c r="AT34" i="14"/>
  <c r="V34" i="14" s="1"/>
  <c r="D193" i="24" s="1"/>
  <c r="B193" i="24"/>
  <c r="AT33" i="13"/>
  <c r="AU33" i="13" s="1"/>
  <c r="B214" i="24"/>
  <c r="AT22" i="13"/>
  <c r="V22" i="13" s="1"/>
  <c r="D208" i="24" s="1"/>
  <c r="B208" i="24"/>
  <c r="AT36" i="12"/>
  <c r="V36" i="12" s="1"/>
  <c r="D239" i="24" s="1"/>
  <c r="B239" i="24"/>
  <c r="AT38" i="11"/>
  <c r="AU38" i="11" s="1"/>
  <c r="B263" i="24"/>
  <c r="AT39" i="11"/>
  <c r="AU39" i="11" s="1"/>
  <c r="B264" i="24"/>
  <c r="AT23" i="10"/>
  <c r="AU23" i="10" s="1"/>
  <c r="B275" i="24"/>
  <c r="AT34" i="10"/>
  <c r="AU34" i="10" s="1"/>
  <c r="B281" i="24"/>
  <c r="AT38" i="9"/>
  <c r="AU38" i="9" s="1"/>
  <c r="B307" i="24"/>
  <c r="AT18" i="9"/>
  <c r="AU18" i="9" s="1"/>
  <c r="B292" i="24"/>
  <c r="AT21" i="9"/>
  <c r="AU21" i="9" s="1"/>
  <c r="B295" i="24"/>
  <c r="AT31" i="8"/>
  <c r="AU31" i="8" s="1"/>
  <c r="B322" i="24"/>
  <c r="AT17" i="8"/>
  <c r="AU17" i="8" s="1"/>
  <c r="B313" i="24"/>
  <c r="AT32" i="21"/>
  <c r="AU32" i="21" s="1"/>
  <c r="B37" i="24"/>
  <c r="AT36" i="20"/>
  <c r="AU36" i="20" s="1"/>
  <c r="B63" i="24"/>
  <c r="AT37" i="19"/>
  <c r="V37" i="19" s="1"/>
  <c r="D86" i="24" s="1"/>
  <c r="B86" i="24"/>
  <c r="AT14" i="19"/>
  <c r="AU14" i="19" s="1"/>
  <c r="B68" i="24"/>
  <c r="AT31" i="18"/>
  <c r="V31" i="18" s="1"/>
  <c r="D102" i="24" s="1"/>
  <c r="B102" i="24"/>
  <c r="AT35" i="18"/>
  <c r="V35" i="18" s="1"/>
  <c r="D106" i="24" s="1"/>
  <c r="B106" i="24"/>
  <c r="AT39" i="18"/>
  <c r="AU39" i="18" s="1"/>
  <c r="B110" i="24"/>
  <c r="AT15" i="18"/>
  <c r="AU15" i="18" s="1"/>
  <c r="B91" i="24"/>
  <c r="AT23" i="18"/>
  <c r="V23" i="18" s="1"/>
  <c r="D99" i="24" s="1"/>
  <c r="B99" i="24"/>
  <c r="AT36" i="17"/>
  <c r="V36" i="17" s="1"/>
  <c r="D129" i="24" s="1"/>
  <c r="B129" i="24"/>
  <c r="AT33" i="21"/>
  <c r="V33" i="21" s="1"/>
  <c r="D38" i="24" s="1"/>
  <c r="B38" i="24"/>
  <c r="AT37" i="21"/>
  <c r="AU37" i="21" s="1"/>
  <c r="B42" i="24"/>
  <c r="AT16" i="21"/>
  <c r="V16" i="21" s="1"/>
  <c r="D26" i="24" s="1"/>
  <c r="B26" i="24"/>
  <c r="AT17" i="21"/>
  <c r="AU17" i="21" s="1"/>
  <c r="B27" i="24"/>
  <c r="AT22" i="21"/>
  <c r="AU22" i="21" s="1"/>
  <c r="B32" i="24"/>
  <c r="AT33" i="20"/>
  <c r="V33" i="20" s="1"/>
  <c r="D60" i="24" s="1"/>
  <c r="B60" i="24"/>
  <c r="AT37" i="20"/>
  <c r="V37" i="20" s="1"/>
  <c r="D64" i="24" s="1"/>
  <c r="B64" i="24"/>
  <c r="AT19" i="20"/>
  <c r="V19" i="20" s="1"/>
  <c r="D51" i="24" s="1"/>
  <c r="B51" i="24"/>
  <c r="AT18" i="20"/>
  <c r="V18" i="20" s="1"/>
  <c r="D50" i="24" s="1"/>
  <c r="B50" i="24"/>
  <c r="AT23" i="20"/>
  <c r="V23" i="20" s="1"/>
  <c r="D55" i="24" s="1"/>
  <c r="B55" i="24"/>
  <c r="AT30" i="19"/>
  <c r="V30" i="19" s="1"/>
  <c r="D79" i="24" s="1"/>
  <c r="B79" i="24"/>
  <c r="AT34" i="19"/>
  <c r="AU34" i="19" s="1"/>
  <c r="B83" i="24"/>
  <c r="AT38" i="19"/>
  <c r="V38" i="19" s="1"/>
  <c r="D87" i="24" s="1"/>
  <c r="B87" i="24"/>
  <c r="AT15" i="19"/>
  <c r="V15" i="19" s="1"/>
  <c r="D69" i="24" s="1"/>
  <c r="B69" i="24"/>
  <c r="AT21" i="19"/>
  <c r="V21" i="19" s="1"/>
  <c r="D75" i="24" s="1"/>
  <c r="B75" i="24"/>
  <c r="AT18" i="19"/>
  <c r="V18" i="19" s="1"/>
  <c r="D72" i="24" s="1"/>
  <c r="B72" i="24"/>
  <c r="AT32" i="18"/>
  <c r="V32" i="18" s="1"/>
  <c r="D103" i="24" s="1"/>
  <c r="B103" i="24"/>
  <c r="AT36" i="18"/>
  <c r="V36" i="18" s="1"/>
  <c r="D107" i="24" s="1"/>
  <c r="B107" i="24"/>
  <c r="AT16" i="18"/>
  <c r="V16" i="18" s="1"/>
  <c r="D92" i="24" s="1"/>
  <c r="B92" i="24"/>
  <c r="AT20" i="18"/>
  <c r="V20" i="18" s="1"/>
  <c r="D96" i="24" s="1"/>
  <c r="B96" i="24"/>
  <c r="AT33" i="17"/>
  <c r="V33" i="17" s="1"/>
  <c r="D126" i="24" s="1"/>
  <c r="B126" i="24"/>
  <c r="AT37" i="17"/>
  <c r="AU37" i="17" s="1"/>
  <c r="B130" i="24"/>
  <c r="AT15" i="17"/>
  <c r="V15" i="17" s="1"/>
  <c r="D113" i="24" s="1"/>
  <c r="B113" i="24"/>
  <c r="AT20" i="17"/>
  <c r="V20" i="17" s="1"/>
  <c r="D118" i="24" s="1"/>
  <c r="B118" i="24"/>
  <c r="AT32" i="16"/>
  <c r="V32" i="16" s="1"/>
  <c r="D147" i="24" s="1"/>
  <c r="B147" i="24"/>
  <c r="AT36" i="16"/>
  <c r="V36" i="16" s="1"/>
  <c r="D151" i="24" s="1"/>
  <c r="B151" i="24"/>
  <c r="AT16" i="16"/>
  <c r="V16" i="16" s="1"/>
  <c r="D136" i="24" s="1"/>
  <c r="B136" i="24"/>
  <c r="AT23" i="16"/>
  <c r="AU23" i="16" s="1"/>
  <c r="B143" i="24"/>
  <c r="AT32" i="15"/>
  <c r="AU32" i="15" s="1"/>
  <c r="B169" i="24"/>
  <c r="AT36" i="15"/>
  <c r="AU36" i="15" s="1"/>
  <c r="B173" i="24"/>
  <c r="AT20" i="15"/>
  <c r="V20" i="15" s="1"/>
  <c r="D162" i="24" s="1"/>
  <c r="B162" i="24"/>
  <c r="AT17" i="15"/>
  <c r="V17" i="15" s="1"/>
  <c r="D159" i="24" s="1"/>
  <c r="B159" i="24"/>
  <c r="AR21" i="15"/>
  <c r="AT32" i="14"/>
  <c r="AU32" i="14" s="1"/>
  <c r="B191" i="24"/>
  <c r="AT35" i="14"/>
  <c r="AU35" i="14" s="1"/>
  <c r="B194" i="24"/>
  <c r="AT39" i="14"/>
  <c r="AU39" i="14" s="1"/>
  <c r="B198" i="24"/>
  <c r="AT14" i="14"/>
  <c r="V14" i="14" s="1"/>
  <c r="D178" i="24" s="1"/>
  <c r="B178" i="24"/>
  <c r="AT18" i="14"/>
  <c r="AU18" i="14" s="1"/>
  <c r="B182" i="24"/>
  <c r="AT19" i="14"/>
  <c r="V19" i="14" s="1"/>
  <c r="D183" i="24" s="1"/>
  <c r="B183" i="24"/>
  <c r="AT23" i="14"/>
  <c r="V23" i="14" s="1"/>
  <c r="D187" i="24" s="1"/>
  <c r="B187" i="24"/>
  <c r="AR43" i="13"/>
  <c r="AR32" i="13"/>
  <c r="AT31" i="13"/>
  <c r="AU31" i="13" s="1"/>
  <c r="B212" i="24"/>
  <c r="AT35" i="13"/>
  <c r="AU35" i="13" s="1"/>
  <c r="B216" i="24"/>
  <c r="AT39" i="13"/>
  <c r="AU39" i="13" s="1"/>
  <c r="B220" i="24"/>
  <c r="AO23" i="13"/>
  <c r="AT14" i="13"/>
  <c r="AU14" i="13" s="1"/>
  <c r="B200" i="24"/>
  <c r="AT18" i="13"/>
  <c r="V18" i="13" s="1"/>
  <c r="D204" i="24" s="1"/>
  <c r="B204" i="24"/>
  <c r="AT21" i="13"/>
  <c r="V21" i="13" s="1"/>
  <c r="D207" i="24" s="1"/>
  <c r="B207" i="24"/>
  <c r="AT15" i="12"/>
  <c r="AU15" i="12" s="1"/>
  <c r="B223" i="24"/>
  <c r="AT30" i="12"/>
  <c r="V30" i="12" s="1"/>
  <c r="D233" i="24" s="1"/>
  <c r="B233" i="24"/>
  <c r="AT34" i="12"/>
  <c r="V34" i="12" s="1"/>
  <c r="D237" i="24" s="1"/>
  <c r="B237" i="24"/>
  <c r="AT38" i="12"/>
  <c r="V38" i="12" s="1"/>
  <c r="D241" i="24" s="1"/>
  <c r="B241" i="24"/>
  <c r="AR46" i="12"/>
  <c r="AT14" i="12"/>
  <c r="AU14" i="12" s="1"/>
  <c r="B222" i="24"/>
  <c r="AT22" i="12"/>
  <c r="V22" i="12" s="1"/>
  <c r="D230" i="24" s="1"/>
  <c r="B230" i="24"/>
  <c r="AO39" i="12"/>
  <c r="AO31" i="12"/>
  <c r="AO45" i="11"/>
  <c r="AT32" i="11"/>
  <c r="AU32" i="11" s="1"/>
  <c r="B257" i="24"/>
  <c r="AT36" i="11"/>
  <c r="AU36" i="11" s="1"/>
  <c r="B261" i="24"/>
  <c r="AT15" i="11"/>
  <c r="AU15" i="11" s="1"/>
  <c r="B245" i="24"/>
  <c r="AT21" i="11"/>
  <c r="AU21" i="11" s="1"/>
  <c r="B251" i="24"/>
  <c r="AO17" i="10"/>
  <c r="AT15" i="10"/>
  <c r="AU15" i="10" s="1"/>
  <c r="B267" i="24"/>
  <c r="AT21" i="10"/>
  <c r="AU21" i="10" s="1"/>
  <c r="B273" i="24"/>
  <c r="AT32" i="10"/>
  <c r="AU32" i="10" s="1"/>
  <c r="B279" i="24"/>
  <c r="AT30" i="10"/>
  <c r="AU30" i="10" s="1"/>
  <c r="B277" i="24"/>
  <c r="AT37" i="10"/>
  <c r="AU37" i="10" s="1"/>
  <c r="B284" i="24"/>
  <c r="AO27" i="9"/>
  <c r="AT32" i="9"/>
  <c r="AU32" i="9" s="1"/>
  <c r="B301" i="24"/>
  <c r="AT36" i="9"/>
  <c r="AU36" i="9" s="1"/>
  <c r="B305" i="24"/>
  <c r="AO35" i="9"/>
  <c r="AO18" i="9"/>
  <c r="AT16" i="9"/>
  <c r="AU16" i="9" s="1"/>
  <c r="B290" i="24"/>
  <c r="AT22" i="9"/>
  <c r="V22" i="9" s="1"/>
  <c r="D296" i="24" s="1"/>
  <c r="B296" i="24"/>
  <c r="AR46" i="8"/>
  <c r="AO27" i="8"/>
  <c r="AR37" i="8"/>
  <c r="AR31" i="8"/>
  <c r="AT33" i="8"/>
  <c r="AU33" i="8" s="1"/>
  <c r="B324" i="24"/>
  <c r="AT37" i="8"/>
  <c r="AU37" i="8" s="1"/>
  <c r="B328" i="24"/>
  <c r="AO22" i="8"/>
  <c r="AT15" i="8"/>
  <c r="AU15" i="8" s="1"/>
  <c r="B311" i="24"/>
  <c r="AT21" i="8"/>
  <c r="V21" i="8" s="1"/>
  <c r="D317" i="24" s="1"/>
  <c r="B317" i="24"/>
  <c r="AR23" i="28"/>
  <c r="AO46" i="28"/>
  <c r="AO20" i="28"/>
  <c r="AR29" i="8"/>
  <c r="AO29" i="8"/>
  <c r="AO37" i="10"/>
  <c r="AR37" i="10"/>
  <c r="AR24" i="15"/>
  <c r="AO24" i="15"/>
  <c r="AO15" i="15"/>
  <c r="AR15" i="15"/>
  <c r="AO31" i="16"/>
  <c r="AR31" i="16"/>
  <c r="AR22" i="12"/>
  <c r="AO22" i="12"/>
  <c r="AR23" i="12"/>
  <c r="AO23" i="12"/>
  <c r="AR26" i="17"/>
  <c r="AO26" i="17"/>
  <c r="AT31" i="21"/>
  <c r="V31" i="21" s="1"/>
  <c r="D36" i="24" s="1"/>
  <c r="B36" i="24"/>
  <c r="AT39" i="21"/>
  <c r="AU39" i="21" s="1"/>
  <c r="B44" i="24"/>
  <c r="AT35" i="20"/>
  <c r="AU35" i="20" s="1"/>
  <c r="B62" i="24"/>
  <c r="AT14" i="20"/>
  <c r="AU14" i="20" s="1"/>
  <c r="AT21" i="20"/>
  <c r="AU21" i="20" s="1"/>
  <c r="B53" i="24"/>
  <c r="AT17" i="19"/>
  <c r="V17" i="19" s="1"/>
  <c r="D71" i="24" s="1"/>
  <c r="B71" i="24"/>
  <c r="AT34" i="18"/>
  <c r="V34" i="18" s="1"/>
  <c r="D105" i="24" s="1"/>
  <c r="B105" i="24"/>
  <c r="AT14" i="18"/>
  <c r="V14" i="18" s="1"/>
  <c r="D90" i="24" s="1"/>
  <c r="B90" i="24"/>
  <c r="AT35" i="17"/>
  <c r="AU35" i="17" s="1"/>
  <c r="B128" i="24"/>
  <c r="AT17" i="17"/>
  <c r="AU17" i="17" s="1"/>
  <c r="B115" i="24"/>
  <c r="AT34" i="16"/>
  <c r="V34" i="16" s="1"/>
  <c r="D149" i="24" s="1"/>
  <c r="B149" i="24"/>
  <c r="AT14" i="16"/>
  <c r="AU14" i="16" s="1"/>
  <c r="B134" i="24"/>
  <c r="AT21" i="16"/>
  <c r="V21" i="16" s="1"/>
  <c r="D141" i="24" s="1"/>
  <c r="B141" i="24"/>
  <c r="AT30" i="15"/>
  <c r="V30" i="15" s="1"/>
  <c r="D167" i="24" s="1"/>
  <c r="B167" i="24"/>
  <c r="AT38" i="15"/>
  <c r="V38" i="15" s="1"/>
  <c r="D175" i="24" s="1"/>
  <c r="B175" i="24"/>
  <c r="AT22" i="15"/>
  <c r="AU22" i="15" s="1"/>
  <c r="B164" i="24"/>
  <c r="AT18" i="15"/>
  <c r="V18" i="15" s="1"/>
  <c r="D160" i="24" s="1"/>
  <c r="B160" i="24"/>
  <c r="AT30" i="14"/>
  <c r="AU30" i="14" s="1"/>
  <c r="B189" i="24"/>
  <c r="AT16" i="14"/>
  <c r="V16" i="14" s="1"/>
  <c r="D180" i="24" s="1"/>
  <c r="B180" i="24"/>
  <c r="AT37" i="13"/>
  <c r="V37" i="13" s="1"/>
  <c r="D218" i="24" s="1"/>
  <c r="B218" i="24"/>
  <c r="AT34" i="11"/>
  <c r="V34" i="11" s="1"/>
  <c r="D259" i="24" s="1"/>
  <c r="B259" i="24"/>
  <c r="AT17" i="11"/>
  <c r="V17" i="11" s="1"/>
  <c r="D247" i="24" s="1"/>
  <c r="B247" i="24"/>
  <c r="AT23" i="11"/>
  <c r="AU23" i="11" s="1"/>
  <c r="B253" i="24"/>
  <c r="AT17" i="10"/>
  <c r="AU17" i="10" s="1"/>
  <c r="B269" i="24"/>
  <c r="AT36" i="10"/>
  <c r="AU36" i="10" s="1"/>
  <c r="B283" i="24"/>
  <c r="AT39" i="10"/>
  <c r="AU39" i="10" s="1"/>
  <c r="B286" i="24"/>
  <c r="AT30" i="9"/>
  <c r="AU30" i="9" s="1"/>
  <c r="B299" i="24"/>
  <c r="AT14" i="9"/>
  <c r="V14" i="9" s="1"/>
  <c r="D288" i="24" s="1"/>
  <c r="B288" i="24"/>
  <c r="AT35" i="8"/>
  <c r="AU35" i="8" s="1"/>
  <c r="B326" i="24"/>
  <c r="AT19" i="8"/>
  <c r="V19" i="8" s="1"/>
  <c r="D315" i="24" s="1"/>
  <c r="B315" i="24"/>
  <c r="AT36" i="21"/>
  <c r="AU36" i="21" s="1"/>
  <c r="B41" i="24"/>
  <c r="AT14" i="21"/>
  <c r="V14" i="21" s="1"/>
  <c r="D24" i="24" s="1"/>
  <c r="B24" i="24"/>
  <c r="AT21" i="21"/>
  <c r="V21" i="21" s="1"/>
  <c r="D31" i="24" s="1"/>
  <c r="B31" i="24"/>
  <c r="AT32" i="20"/>
  <c r="V32" i="20" s="1"/>
  <c r="D59" i="24" s="1"/>
  <c r="B59" i="24"/>
  <c r="AT17" i="20"/>
  <c r="AU17" i="20" s="1"/>
  <c r="B49" i="24"/>
  <c r="AT30" i="21"/>
  <c r="V30" i="21" s="1"/>
  <c r="D35" i="24" s="1"/>
  <c r="B35" i="24"/>
  <c r="AT34" i="21"/>
  <c r="AU34" i="21" s="1"/>
  <c r="B39" i="24"/>
  <c r="AT38" i="21"/>
  <c r="AU38" i="21" s="1"/>
  <c r="B43" i="24"/>
  <c r="AT18" i="21"/>
  <c r="AU18" i="21" s="1"/>
  <c r="B28" i="24"/>
  <c r="AT19" i="21"/>
  <c r="V19" i="21" s="1"/>
  <c r="D29" i="24" s="1"/>
  <c r="B29" i="24"/>
  <c r="AT23" i="21"/>
  <c r="V23" i="21" s="1"/>
  <c r="D33" i="24" s="1"/>
  <c r="B33" i="24"/>
  <c r="AT30" i="20"/>
  <c r="AU30" i="20" s="1"/>
  <c r="B57" i="24"/>
  <c r="AT34" i="20"/>
  <c r="V34" i="20" s="1"/>
  <c r="D61" i="24" s="1"/>
  <c r="B61" i="24"/>
  <c r="AT38" i="20"/>
  <c r="V38" i="20" s="1"/>
  <c r="D65" i="24" s="1"/>
  <c r="B65" i="24"/>
  <c r="AT15" i="20"/>
  <c r="AU15" i="20" s="1"/>
  <c r="B47" i="24"/>
  <c r="AT20" i="20"/>
  <c r="V20" i="20" s="1"/>
  <c r="D52" i="24" s="1"/>
  <c r="B52" i="24"/>
  <c r="AT31" i="19"/>
  <c r="AU31" i="19" s="1"/>
  <c r="B80" i="24"/>
  <c r="AT35" i="19"/>
  <c r="AU35" i="19" s="1"/>
  <c r="B84" i="24"/>
  <c r="AT39" i="19"/>
  <c r="AU39" i="19" s="1"/>
  <c r="B88" i="24"/>
  <c r="AT19" i="19"/>
  <c r="AU19" i="19" s="1"/>
  <c r="B73" i="24"/>
  <c r="AT16" i="19"/>
  <c r="V16" i="19" s="1"/>
  <c r="D70" i="24" s="1"/>
  <c r="B70" i="24"/>
  <c r="AT22" i="19"/>
  <c r="V22" i="19" s="1"/>
  <c r="D76" i="24" s="1"/>
  <c r="B76" i="24"/>
  <c r="AT33" i="18"/>
  <c r="V33" i="18" s="1"/>
  <c r="D104" i="24" s="1"/>
  <c r="B104" i="24"/>
  <c r="AT37" i="18"/>
  <c r="AU37" i="18" s="1"/>
  <c r="B108" i="24"/>
  <c r="AT19" i="18"/>
  <c r="V19" i="18" s="1"/>
  <c r="D95" i="24" s="1"/>
  <c r="B95" i="24"/>
  <c r="AT17" i="18"/>
  <c r="AU17" i="18" s="1"/>
  <c r="B93" i="24"/>
  <c r="AT21" i="18"/>
  <c r="AU21" i="18" s="1"/>
  <c r="B97" i="24"/>
  <c r="AT30" i="17"/>
  <c r="AU30" i="17" s="1"/>
  <c r="B123" i="24"/>
  <c r="AT34" i="17"/>
  <c r="AU34" i="17" s="1"/>
  <c r="B127" i="24"/>
  <c r="AT38" i="17"/>
  <c r="AU38" i="17" s="1"/>
  <c r="B131" i="24"/>
  <c r="AT16" i="17"/>
  <c r="AU16" i="17" s="1"/>
  <c r="B114" i="24"/>
  <c r="AT21" i="17"/>
  <c r="AU21" i="17" s="1"/>
  <c r="B119" i="24"/>
  <c r="AT33" i="16"/>
  <c r="V33" i="16" s="1"/>
  <c r="D148" i="24" s="1"/>
  <c r="B148" i="24"/>
  <c r="AT37" i="16"/>
  <c r="V37" i="16" s="1"/>
  <c r="D152" i="24" s="1"/>
  <c r="B152" i="24"/>
  <c r="AT19" i="16"/>
  <c r="V19" i="16" s="1"/>
  <c r="D139" i="24" s="1"/>
  <c r="B139" i="24"/>
  <c r="AT17" i="16"/>
  <c r="AU17" i="16" s="1"/>
  <c r="B137" i="24"/>
  <c r="AT20" i="16"/>
  <c r="V20" i="16" s="1"/>
  <c r="D140" i="24" s="1"/>
  <c r="B140" i="24"/>
  <c r="AT33" i="15"/>
  <c r="V33" i="15" s="1"/>
  <c r="D170" i="24" s="1"/>
  <c r="B170" i="24"/>
  <c r="AT37" i="15"/>
  <c r="V37" i="15" s="1"/>
  <c r="D174" i="24" s="1"/>
  <c r="B174" i="24"/>
  <c r="AT21" i="15"/>
  <c r="V21" i="15" s="1"/>
  <c r="D163" i="24" s="1"/>
  <c r="B163" i="24"/>
  <c r="AT14" i="15"/>
  <c r="V14" i="15" s="1"/>
  <c r="D156" i="24" s="1"/>
  <c r="B156" i="24"/>
  <c r="AT33" i="14"/>
  <c r="V33" i="14" s="1"/>
  <c r="D192" i="24" s="1"/>
  <c r="B192" i="24"/>
  <c r="AT36" i="14"/>
  <c r="V36" i="14" s="1"/>
  <c r="D195" i="24" s="1"/>
  <c r="B195" i="24"/>
  <c r="AT15" i="14"/>
  <c r="V15" i="14" s="1"/>
  <c r="D179" i="24" s="1"/>
  <c r="B179" i="24"/>
  <c r="AT20" i="14"/>
  <c r="AU20" i="14" s="1"/>
  <c r="B184" i="24"/>
  <c r="AT32" i="13"/>
  <c r="V32" i="13" s="1"/>
  <c r="D213" i="24" s="1"/>
  <c r="B213" i="24"/>
  <c r="AT36" i="13"/>
  <c r="V36" i="13" s="1"/>
  <c r="D217" i="24" s="1"/>
  <c r="B217" i="24"/>
  <c r="AT15" i="13"/>
  <c r="AU15" i="13" s="1"/>
  <c r="B201" i="24"/>
  <c r="AT19" i="13"/>
  <c r="AU19" i="13" s="1"/>
  <c r="B205" i="24"/>
  <c r="AT31" i="12"/>
  <c r="V31" i="12" s="1"/>
  <c r="D234" i="24" s="1"/>
  <c r="B234" i="24"/>
  <c r="AT35" i="12"/>
  <c r="V35" i="12" s="1"/>
  <c r="D238" i="24" s="1"/>
  <c r="B238" i="24"/>
  <c r="AT39" i="12"/>
  <c r="V39" i="12" s="1"/>
  <c r="D242" i="24" s="1"/>
  <c r="B242" i="24"/>
  <c r="AT19" i="12"/>
  <c r="AU19" i="12" s="1"/>
  <c r="B227" i="24"/>
  <c r="AT23" i="12"/>
  <c r="AU23" i="12" s="1"/>
  <c r="B231" i="24"/>
  <c r="AT33" i="11"/>
  <c r="AU33" i="11" s="1"/>
  <c r="B258" i="24"/>
  <c r="AT37" i="11"/>
  <c r="V37" i="11" s="1"/>
  <c r="D262" i="24" s="1"/>
  <c r="B262" i="24"/>
  <c r="AT16" i="11"/>
  <c r="AU16" i="11" s="1"/>
  <c r="B246" i="24"/>
  <c r="AT22" i="11"/>
  <c r="AU22" i="11" s="1"/>
  <c r="B252" i="24"/>
  <c r="AT16" i="10"/>
  <c r="AU16" i="10" s="1"/>
  <c r="B268" i="24"/>
  <c r="AT22" i="10"/>
  <c r="AU22" i="10" s="1"/>
  <c r="B274" i="24"/>
  <c r="AT35" i="10"/>
  <c r="AU35" i="10" s="1"/>
  <c r="B282" i="24"/>
  <c r="AT33" i="10"/>
  <c r="V33" i="10" s="1"/>
  <c r="D280" i="24" s="1"/>
  <c r="B280" i="24"/>
  <c r="AT38" i="10"/>
  <c r="AU38" i="10" s="1"/>
  <c r="B285" i="24"/>
  <c r="AT33" i="9"/>
  <c r="AU33" i="9" s="1"/>
  <c r="B302" i="24"/>
  <c r="AT37" i="9"/>
  <c r="AU37" i="9" s="1"/>
  <c r="B306" i="24"/>
  <c r="AT23" i="9"/>
  <c r="V23" i="9" s="1"/>
  <c r="D297" i="24" s="1"/>
  <c r="B297" i="24"/>
  <c r="AT17" i="9"/>
  <c r="AU17" i="9" s="1"/>
  <c r="B291" i="24"/>
  <c r="AT30" i="8"/>
  <c r="V30" i="8" s="1"/>
  <c r="D321" i="24" s="1"/>
  <c r="B321" i="24"/>
  <c r="AT34" i="8"/>
  <c r="AU34" i="8" s="1"/>
  <c r="B325" i="24"/>
  <c r="AT38" i="8"/>
  <c r="AU38" i="8" s="1"/>
  <c r="B329" i="24"/>
  <c r="AT16" i="8"/>
  <c r="AU16" i="8" s="1"/>
  <c r="B312" i="24"/>
  <c r="AT22" i="8"/>
  <c r="V22" i="8" s="1"/>
  <c r="D318" i="24" s="1"/>
  <c r="B318" i="24"/>
  <c r="AR13" i="28"/>
  <c r="AO13" i="28"/>
  <c r="AR27" i="11"/>
  <c r="AO27" i="11"/>
  <c r="AO14" i="15"/>
  <c r="AR14" i="15"/>
  <c r="AR19" i="12"/>
  <c r="AO19" i="12"/>
  <c r="AO39" i="20"/>
  <c r="AR39" i="20"/>
  <c r="AO31" i="20"/>
  <c r="AR31" i="20"/>
  <c r="AT32" i="19"/>
  <c r="AU32" i="19" s="1"/>
  <c r="B81" i="24"/>
  <c r="AT23" i="19"/>
  <c r="V23" i="19" s="1"/>
  <c r="D77" i="24" s="1"/>
  <c r="B77" i="24"/>
  <c r="AT19" i="17"/>
  <c r="V19" i="17" s="1"/>
  <c r="D117" i="24" s="1"/>
  <c r="B117" i="24"/>
  <c r="AR20" i="12"/>
  <c r="AO20" i="12"/>
  <c r="AO38" i="17"/>
  <c r="AR38" i="17"/>
  <c r="AO35" i="16"/>
  <c r="AR35" i="16"/>
  <c r="AR24" i="16"/>
  <c r="AO24" i="16"/>
  <c r="AT39" i="20"/>
  <c r="AU39" i="20" s="1"/>
  <c r="B66" i="24"/>
  <c r="AT36" i="19"/>
  <c r="V36" i="19" s="1"/>
  <c r="D85" i="24" s="1"/>
  <c r="B85" i="24"/>
  <c r="AT30" i="18"/>
  <c r="AU30" i="18" s="1"/>
  <c r="B101" i="24"/>
  <c r="AT18" i="18"/>
  <c r="AU18" i="18" s="1"/>
  <c r="B94" i="24"/>
  <c r="AT37" i="14"/>
  <c r="V37" i="14" s="1"/>
  <c r="D196" i="24" s="1"/>
  <c r="B196" i="24"/>
  <c r="AT21" i="14"/>
  <c r="V21" i="14" s="1"/>
  <c r="D185" i="24" s="1"/>
  <c r="B185" i="24"/>
  <c r="AT16" i="13"/>
  <c r="V16" i="13" s="1"/>
  <c r="D202" i="24" s="1"/>
  <c r="B202" i="24"/>
  <c r="AT32" i="12"/>
  <c r="AU32" i="12" s="1"/>
  <c r="B235" i="24"/>
  <c r="AT20" i="12"/>
  <c r="AU20" i="12" s="1"/>
  <c r="B228" i="24"/>
  <c r="AT30" i="11"/>
  <c r="AU30" i="11" s="1"/>
  <c r="B255" i="24"/>
  <c r="AT19" i="11"/>
  <c r="AU19" i="11" s="1"/>
  <c r="B249" i="24"/>
  <c r="AT19" i="10"/>
  <c r="AU19" i="10" s="1"/>
  <c r="B271" i="24"/>
  <c r="AT34" i="9"/>
  <c r="V34" i="9" s="1"/>
  <c r="D303" i="24" s="1"/>
  <c r="B303" i="24"/>
  <c r="AT39" i="8"/>
  <c r="AU39" i="8" s="1"/>
  <c r="B330" i="24"/>
  <c r="AT23" i="8"/>
  <c r="V23" i="8" s="1"/>
  <c r="D319" i="24" s="1"/>
  <c r="B319" i="24"/>
  <c r="AT22" i="20"/>
  <c r="AU22" i="20" s="1"/>
  <c r="B54" i="24"/>
  <c r="AT33" i="19"/>
  <c r="AU33" i="19" s="1"/>
  <c r="B82" i="24"/>
  <c r="AT32" i="17"/>
  <c r="AU32" i="17" s="1"/>
  <c r="B125" i="24"/>
  <c r="AT14" i="17"/>
  <c r="AU14" i="17" s="1"/>
  <c r="B112" i="24"/>
  <c r="AT18" i="17"/>
  <c r="AU18" i="17" s="1"/>
  <c r="B116" i="24"/>
  <c r="AT23" i="17"/>
  <c r="AU23" i="17" s="1"/>
  <c r="B121" i="24"/>
  <c r="AT31" i="16"/>
  <c r="AU31" i="16" s="1"/>
  <c r="B146" i="24"/>
  <c r="AT35" i="16"/>
  <c r="V35" i="16" s="1"/>
  <c r="D150" i="24" s="1"/>
  <c r="B150" i="24"/>
  <c r="AT39" i="16"/>
  <c r="AU39" i="16" s="1"/>
  <c r="B154" i="24"/>
  <c r="AT15" i="16"/>
  <c r="V15" i="16" s="1"/>
  <c r="D135" i="24" s="1"/>
  <c r="B135" i="24"/>
  <c r="AT22" i="16"/>
  <c r="V22" i="16" s="1"/>
  <c r="D142" i="24" s="1"/>
  <c r="B142" i="24"/>
  <c r="AT31" i="15"/>
  <c r="V31" i="15" s="1"/>
  <c r="D168" i="24" s="1"/>
  <c r="B168" i="24"/>
  <c r="AT35" i="15"/>
  <c r="V35" i="15" s="1"/>
  <c r="D172" i="24" s="1"/>
  <c r="B172" i="24"/>
  <c r="AT39" i="15"/>
  <c r="V39" i="15" s="1"/>
  <c r="D176" i="24" s="1"/>
  <c r="B176" i="24"/>
  <c r="AT19" i="15"/>
  <c r="V19" i="15" s="1"/>
  <c r="D161" i="24" s="1"/>
  <c r="B161" i="24"/>
  <c r="AT23" i="15"/>
  <c r="AU23" i="15" s="1"/>
  <c r="B165" i="24"/>
  <c r="AT16" i="15"/>
  <c r="V16" i="15" s="1"/>
  <c r="D158" i="24" s="1"/>
  <c r="B158" i="24"/>
  <c r="AT31" i="14"/>
  <c r="AU31" i="14" s="1"/>
  <c r="B190" i="24"/>
  <c r="AT38" i="14"/>
  <c r="V38" i="14" s="1"/>
  <c r="D197" i="24" s="1"/>
  <c r="B197" i="24"/>
  <c r="AT17" i="14"/>
  <c r="AU17" i="14" s="1"/>
  <c r="B181" i="24"/>
  <c r="AT22" i="14"/>
  <c r="V22" i="14" s="1"/>
  <c r="D186" i="24" s="1"/>
  <c r="B186" i="24"/>
  <c r="AT30" i="13"/>
  <c r="AU30" i="13" s="1"/>
  <c r="B211" i="24"/>
  <c r="AT34" i="13"/>
  <c r="V34" i="13" s="1"/>
  <c r="D215" i="24" s="1"/>
  <c r="B215" i="24"/>
  <c r="AT38" i="13"/>
  <c r="AU38" i="13" s="1"/>
  <c r="B219" i="24"/>
  <c r="AT17" i="13"/>
  <c r="AU17" i="13" s="1"/>
  <c r="B203" i="24"/>
  <c r="AT20" i="13"/>
  <c r="V20" i="13" s="1"/>
  <c r="D206" i="24" s="1"/>
  <c r="B206" i="24"/>
  <c r="AT23" i="13"/>
  <c r="V23" i="13" s="1"/>
  <c r="D209" i="24" s="1"/>
  <c r="B209" i="24"/>
  <c r="AT33" i="12"/>
  <c r="AU33" i="12" s="1"/>
  <c r="B236" i="24"/>
  <c r="AT37" i="12"/>
  <c r="AU37" i="12" s="1"/>
  <c r="B240" i="24"/>
  <c r="AT17" i="12"/>
  <c r="V17" i="12" s="1"/>
  <c r="D225" i="24" s="1"/>
  <c r="B225" i="24"/>
  <c r="AT21" i="12"/>
  <c r="V21" i="12" s="1"/>
  <c r="D229" i="24" s="1"/>
  <c r="B229" i="24"/>
  <c r="AT18" i="12"/>
  <c r="V18" i="12" s="1"/>
  <c r="D226" i="24" s="1"/>
  <c r="B226" i="24"/>
  <c r="AR31" i="11"/>
  <c r="AT31" i="11"/>
  <c r="AU31" i="11" s="1"/>
  <c r="B256" i="24"/>
  <c r="AT35" i="11"/>
  <c r="AU35" i="11" s="1"/>
  <c r="B260" i="24"/>
  <c r="AT14" i="11"/>
  <c r="V14" i="11" s="1"/>
  <c r="D244" i="24" s="1"/>
  <c r="B244" i="24"/>
  <c r="AT18" i="11"/>
  <c r="V18" i="11" s="1"/>
  <c r="D248" i="24" s="1"/>
  <c r="B248" i="24"/>
  <c r="AT20" i="11"/>
  <c r="AU20" i="11" s="1"/>
  <c r="B250" i="24"/>
  <c r="AR39" i="10"/>
  <c r="AT14" i="10"/>
  <c r="AU14" i="10" s="1"/>
  <c r="B266" i="24"/>
  <c r="AT18" i="10"/>
  <c r="AU18" i="10" s="1"/>
  <c r="B270" i="24"/>
  <c r="AT20" i="10"/>
  <c r="V20" i="10" s="1"/>
  <c r="D272" i="24" s="1"/>
  <c r="B272" i="24"/>
  <c r="AT31" i="10"/>
  <c r="AU31" i="10" s="1"/>
  <c r="B278" i="24"/>
  <c r="AT31" i="9"/>
  <c r="V31" i="9" s="1"/>
  <c r="D300" i="24" s="1"/>
  <c r="B300" i="24"/>
  <c r="AT35" i="9"/>
  <c r="V35" i="9" s="1"/>
  <c r="D304" i="24" s="1"/>
  <c r="B304" i="24"/>
  <c r="AT39" i="9"/>
  <c r="V39" i="9" s="1"/>
  <c r="D308" i="24" s="1"/>
  <c r="B308" i="24"/>
  <c r="AT15" i="9"/>
  <c r="V15" i="9" s="1"/>
  <c r="D289" i="24" s="1"/>
  <c r="B289" i="24"/>
  <c r="AT19" i="9"/>
  <c r="V19" i="9" s="1"/>
  <c r="D293" i="24" s="1"/>
  <c r="B293" i="24"/>
  <c r="AT20" i="9"/>
  <c r="V20" i="9" s="1"/>
  <c r="D294" i="24" s="1"/>
  <c r="B294" i="24"/>
  <c r="AO28" i="8"/>
  <c r="AT32" i="8"/>
  <c r="AU32" i="8" s="1"/>
  <c r="B323" i="24"/>
  <c r="AT36" i="8"/>
  <c r="AU36" i="8" s="1"/>
  <c r="B327" i="24"/>
  <c r="AT14" i="8"/>
  <c r="V14" i="8" s="1"/>
  <c r="D310" i="24" s="1"/>
  <c r="B310" i="24"/>
  <c r="AT18" i="8"/>
  <c r="AU18" i="8" s="1"/>
  <c r="B314" i="24"/>
  <c r="AT20" i="8"/>
  <c r="AU20" i="8" s="1"/>
  <c r="B316" i="24"/>
  <c r="AR37" i="28"/>
  <c r="AR33" i="28"/>
  <c r="AO29" i="28"/>
  <c r="AO37" i="17"/>
  <c r="AR37" i="17"/>
  <c r="AR28" i="15"/>
  <c r="AO28" i="15"/>
  <c r="AO17" i="15"/>
  <c r="AR17" i="15"/>
  <c r="AR24" i="21"/>
  <c r="AO24" i="21"/>
  <c r="AU38" i="28"/>
  <c r="V38" i="28"/>
  <c r="V22" i="28"/>
  <c r="AU22" i="28"/>
  <c r="V18" i="28"/>
  <c r="AU18" i="28"/>
  <c r="AU31" i="28"/>
  <c r="V31" i="28"/>
  <c r="AU35" i="28"/>
  <c r="V35" i="28"/>
  <c r="AU39" i="28"/>
  <c r="V39" i="28"/>
  <c r="V19" i="28"/>
  <c r="AU19" i="28"/>
  <c r="V23" i="28"/>
  <c r="AU23" i="28"/>
  <c r="AU16" i="28"/>
  <c r="V16" i="28"/>
  <c r="AU34" i="28"/>
  <c r="V34" i="28"/>
  <c r="AU32" i="28"/>
  <c r="V32" i="28"/>
  <c r="AU36" i="28"/>
  <c r="V36" i="28"/>
  <c r="V20" i="28"/>
  <c r="AU20" i="28"/>
  <c r="AU17" i="28"/>
  <c r="V17" i="28"/>
  <c r="AU30" i="28"/>
  <c r="V30" i="28"/>
  <c r="AU15" i="28"/>
  <c r="V15" i="28"/>
  <c r="AR24" i="28"/>
  <c r="AO24" i="28"/>
  <c r="AU33" i="28"/>
  <c r="V33" i="28"/>
  <c r="AU37" i="28"/>
  <c r="V37" i="28"/>
  <c r="V21" i="28"/>
  <c r="AU21" i="28"/>
  <c r="AU14" i="28"/>
  <c r="V14" i="28"/>
  <c r="AR15" i="28"/>
  <c r="AO15" i="28"/>
  <c r="AR26" i="8"/>
  <c r="AO26" i="8"/>
  <c r="AS52" i="8"/>
  <c r="AR26" i="9"/>
  <c r="AO26" i="9"/>
  <c r="AS52" i="9"/>
  <c r="AO38" i="10"/>
  <c r="AR38" i="10"/>
  <c r="AO33" i="10"/>
  <c r="AR33" i="10"/>
  <c r="AO32" i="10"/>
  <c r="AR32" i="10"/>
  <c r="AR23" i="10"/>
  <c r="AO23" i="10"/>
  <c r="AO34" i="10"/>
  <c r="AR34" i="10"/>
  <c r="AR29" i="10"/>
  <c r="AO29" i="10"/>
  <c r="AO30" i="10"/>
  <c r="AR30" i="10"/>
  <c r="AO36" i="10"/>
  <c r="AR36" i="10"/>
  <c r="AR28" i="10"/>
  <c r="AO28" i="10"/>
  <c r="AS52" i="10"/>
  <c r="AR28" i="11"/>
  <c r="AO28" i="11"/>
  <c r="AR24" i="12"/>
  <c r="AO24" i="12"/>
  <c r="AR26" i="12"/>
  <c r="AO26" i="12"/>
  <c r="AO14" i="12"/>
  <c r="AR14" i="12"/>
  <c r="W16" i="12"/>
  <c r="Y16" i="12"/>
  <c r="X16" i="12"/>
  <c r="AO15" i="12"/>
  <c r="AR15" i="12"/>
  <c r="AR28" i="12"/>
  <c r="AO28" i="12"/>
  <c r="AR24" i="13"/>
  <c r="AO24" i="13"/>
  <c r="AS52" i="13"/>
  <c r="AO36" i="14"/>
  <c r="AR36" i="14"/>
  <c r="AO30" i="14"/>
  <c r="AR30" i="14"/>
  <c r="AO33" i="14"/>
  <c r="AR33" i="14"/>
  <c r="AR29" i="14"/>
  <c r="AO29" i="14"/>
  <c r="AO35" i="14"/>
  <c r="AR35" i="14"/>
  <c r="AO32" i="14"/>
  <c r="AR32" i="14"/>
  <c r="AR27" i="14"/>
  <c r="AO27" i="14"/>
  <c r="AO38" i="14"/>
  <c r="AR38" i="14"/>
  <c r="AO31" i="14"/>
  <c r="AR31" i="14"/>
  <c r="AO39" i="14"/>
  <c r="AR39" i="14"/>
  <c r="AO34" i="14"/>
  <c r="AR34" i="14"/>
  <c r="AR26" i="15"/>
  <c r="AO26" i="15"/>
  <c r="AO45" i="15"/>
  <c r="AR45" i="15"/>
  <c r="AO32" i="16"/>
  <c r="AR32" i="16"/>
  <c r="AO38" i="16"/>
  <c r="AR38" i="16"/>
  <c r="AR27" i="16"/>
  <c r="AO27" i="16"/>
  <c r="AR26" i="16"/>
  <c r="AO26" i="16"/>
  <c r="AO34" i="16"/>
  <c r="AR34" i="16"/>
  <c r="AR28" i="16"/>
  <c r="AO28" i="16"/>
  <c r="AS52" i="16"/>
  <c r="AO36" i="16"/>
  <c r="AR36" i="16"/>
  <c r="AO30" i="16"/>
  <c r="AR30" i="16"/>
  <c r="AR24" i="17"/>
  <c r="AO24" i="17"/>
  <c r="AR26" i="18"/>
  <c r="AO26" i="18"/>
  <c r="AR24" i="18"/>
  <c r="AO24" i="18"/>
  <c r="AS52" i="19"/>
  <c r="AR28" i="20"/>
  <c r="AO28" i="20"/>
  <c r="AO30" i="20"/>
  <c r="AR30" i="20"/>
  <c r="AR26" i="20"/>
  <c r="AO26" i="20"/>
  <c r="AO36" i="20"/>
  <c r="AR36" i="20"/>
  <c r="AO34" i="20"/>
  <c r="AR34" i="20"/>
  <c r="AS52" i="20"/>
  <c r="AO32" i="20"/>
  <c r="AR32" i="20"/>
  <c r="AO38" i="20"/>
  <c r="AR38" i="20"/>
  <c r="AO39" i="21"/>
  <c r="AR39" i="21"/>
  <c r="AO31" i="21"/>
  <c r="AR31" i="21"/>
  <c r="AR27" i="21"/>
  <c r="AO27" i="21"/>
  <c r="AR28" i="21"/>
  <c r="AO28" i="21"/>
  <c r="AS52" i="21"/>
  <c r="AO36" i="21"/>
  <c r="AR36" i="21"/>
  <c r="AO32" i="21"/>
  <c r="AR32" i="21"/>
  <c r="AO30" i="21"/>
  <c r="AR30" i="21"/>
  <c r="AO38" i="21"/>
  <c r="AR38" i="21"/>
  <c r="AR26" i="21"/>
  <c r="AO26" i="21"/>
  <c r="AO35" i="21"/>
  <c r="AR35" i="21"/>
  <c r="AR29" i="21"/>
  <c r="AO29" i="21"/>
  <c r="AO34" i="21"/>
  <c r="AR34" i="21"/>
  <c r="AR52" i="18" l="1"/>
  <c r="L10" i="22" s="1"/>
  <c r="AO52" i="19"/>
  <c r="J9" i="22" s="1"/>
  <c r="AR52" i="19"/>
  <c r="L9" i="22" s="1"/>
  <c r="C451" i="24"/>
  <c r="F451" i="24" s="1"/>
  <c r="C462" i="24"/>
  <c r="F462" i="24" s="1"/>
  <c r="AO52" i="18"/>
  <c r="J10" i="22" s="1"/>
  <c r="Y14" i="30"/>
  <c r="W21" i="30"/>
  <c r="Y21" i="30"/>
  <c r="X22" i="30"/>
  <c r="X17" i="30"/>
  <c r="Y32" i="30"/>
  <c r="X15" i="30"/>
  <c r="W32" i="30"/>
  <c r="Y17" i="30"/>
  <c r="W36" i="30"/>
  <c r="Y22" i="30"/>
  <c r="X38" i="30"/>
  <c r="Y38" i="30"/>
  <c r="W15" i="30"/>
  <c r="X36" i="30"/>
  <c r="X33" i="30"/>
  <c r="X34" i="30"/>
  <c r="Y34" i="30"/>
  <c r="W14" i="30"/>
  <c r="W33" i="30"/>
  <c r="X39" i="30"/>
  <c r="Y39" i="30"/>
  <c r="A416" i="24"/>
  <c r="C415" i="24"/>
  <c r="F415" i="24" s="1"/>
  <c r="A361" i="24"/>
  <c r="C360" i="24"/>
  <c r="F360" i="24" s="1"/>
  <c r="A341" i="24"/>
  <c r="C340" i="24"/>
  <c r="F340" i="24" s="1"/>
  <c r="A396" i="24"/>
  <c r="C395" i="24"/>
  <c r="F395" i="24" s="1"/>
  <c r="A405" i="24"/>
  <c r="C404" i="24"/>
  <c r="F404" i="24" s="1"/>
  <c r="A428" i="24"/>
  <c r="C427" i="24"/>
  <c r="F427" i="24" s="1"/>
  <c r="A373" i="24"/>
  <c r="C372" i="24"/>
  <c r="F372" i="24" s="1"/>
  <c r="A384" i="24"/>
  <c r="C383" i="24"/>
  <c r="F383" i="24" s="1"/>
  <c r="A438" i="24"/>
  <c r="C437" i="24"/>
  <c r="F437" i="24" s="1"/>
  <c r="A352" i="24"/>
  <c r="C351" i="24"/>
  <c r="F351" i="24" s="1"/>
  <c r="I47" i="30"/>
  <c r="G47" i="30"/>
  <c r="BE52" i="30"/>
  <c r="V47" i="30" s="1"/>
  <c r="AR52" i="8"/>
  <c r="L20" i="22" s="1"/>
  <c r="AO52" i="8"/>
  <c r="J20" i="22" s="1"/>
  <c r="AO52" i="9"/>
  <c r="J19" i="22" s="1"/>
  <c r="F10" i="26" s="1"/>
  <c r="AR52" i="9"/>
  <c r="L19" i="22" s="1"/>
  <c r="G10" i="26" s="1"/>
  <c r="AO52" i="10"/>
  <c r="J18" i="22" s="1"/>
  <c r="AR52" i="10"/>
  <c r="L18" i="22" s="1"/>
  <c r="AR52" i="11"/>
  <c r="L17" i="22" s="1"/>
  <c r="AO52" i="11"/>
  <c r="J17" i="22" s="1"/>
  <c r="AR52" i="12"/>
  <c r="L16" i="22" s="1"/>
  <c r="M2" i="26" s="1"/>
  <c r="AO52" i="12"/>
  <c r="J16" i="22" s="1"/>
  <c r="N2" i="26" s="1"/>
  <c r="AR52" i="13"/>
  <c r="L15" i="22" s="1"/>
  <c r="AO52" i="13"/>
  <c r="J15" i="22" s="1"/>
  <c r="AR52" i="14"/>
  <c r="L14" i="22" s="1"/>
  <c r="G4" i="26" s="1"/>
  <c r="AO52" i="14"/>
  <c r="J14" i="22" s="1"/>
  <c r="F4" i="26" s="1"/>
  <c r="AR52" i="15"/>
  <c r="L13" i="22" s="1"/>
  <c r="AO52" i="15"/>
  <c r="J13" i="22" s="1"/>
  <c r="AR52" i="16"/>
  <c r="L12" i="22" s="1"/>
  <c r="AO52" i="16"/>
  <c r="J12" i="22" s="1"/>
  <c r="AO52" i="17"/>
  <c r="J11" i="22" s="1"/>
  <c r="AR52" i="17"/>
  <c r="L11" i="22" s="1"/>
  <c r="AR52" i="20"/>
  <c r="L8" i="22" s="1"/>
  <c r="AO52" i="20"/>
  <c r="J8" i="22" s="1"/>
  <c r="AO52" i="21"/>
  <c r="J7" i="22" s="1"/>
  <c r="AR52" i="21"/>
  <c r="L7" i="22" s="1"/>
  <c r="V35" i="21"/>
  <c r="D40" i="24" s="1"/>
  <c r="V37" i="21"/>
  <c r="D42" i="24" s="1"/>
  <c r="AU36" i="18"/>
  <c r="Y36" i="18" s="1"/>
  <c r="AU23" i="20"/>
  <c r="X23" i="20" s="1"/>
  <c r="V32" i="9"/>
  <c r="D301" i="24" s="1"/>
  <c r="V39" i="17"/>
  <c r="D132" i="24" s="1"/>
  <c r="V38" i="9"/>
  <c r="D307" i="24" s="1"/>
  <c r="AU16" i="16"/>
  <c r="W16" i="16" s="1"/>
  <c r="AU34" i="14"/>
  <c r="X34" i="14" s="1"/>
  <c r="AU16" i="21"/>
  <c r="W16" i="21" s="1"/>
  <c r="V15" i="11"/>
  <c r="D245" i="24" s="1"/>
  <c r="AU31" i="17"/>
  <c r="Y31" i="17" s="1"/>
  <c r="V35" i="14"/>
  <c r="D194" i="24" s="1"/>
  <c r="V14" i="19"/>
  <c r="D68" i="24" s="1"/>
  <c r="AU36" i="16"/>
  <c r="W36" i="16" s="1"/>
  <c r="V38" i="17"/>
  <c r="D131" i="24" s="1"/>
  <c r="AU30" i="21"/>
  <c r="Y30" i="21" s="1"/>
  <c r="AU38" i="20"/>
  <c r="Y38" i="20" s="1"/>
  <c r="AU22" i="19"/>
  <c r="X22" i="19" s="1"/>
  <c r="V32" i="17"/>
  <c r="D125" i="24" s="1"/>
  <c r="AU17" i="11"/>
  <c r="W17" i="11" s="1"/>
  <c r="AU33" i="15"/>
  <c r="Y33" i="15" s="1"/>
  <c r="AU22" i="16"/>
  <c r="X22" i="16" s="1"/>
  <c r="V35" i="13"/>
  <c r="D216" i="24" s="1"/>
  <c r="AU31" i="9"/>
  <c r="X31" i="9" s="1"/>
  <c r="AU33" i="17"/>
  <c r="Y33" i="17" s="1"/>
  <c r="AU33" i="10"/>
  <c r="W33" i="10" s="1"/>
  <c r="V38" i="8"/>
  <c r="D329" i="24" s="1"/>
  <c r="AU34" i="12"/>
  <c r="Y34" i="12" s="1"/>
  <c r="AU17" i="19"/>
  <c r="Y17" i="19" s="1"/>
  <c r="AU37" i="14"/>
  <c r="W37" i="14" s="1"/>
  <c r="AU30" i="15"/>
  <c r="X30" i="15" s="1"/>
  <c r="AU19" i="8"/>
  <c r="W19" i="8" s="1"/>
  <c r="V35" i="11"/>
  <c r="D260" i="24" s="1"/>
  <c r="AU34" i="9"/>
  <c r="W34" i="9" s="1"/>
  <c r="AU23" i="13"/>
  <c r="Y23" i="13" s="1"/>
  <c r="AU36" i="12"/>
  <c r="Y36" i="12" s="1"/>
  <c r="V17" i="10"/>
  <c r="D269" i="24" s="1"/>
  <c r="AU32" i="13"/>
  <c r="X32" i="13" s="1"/>
  <c r="AU19" i="18"/>
  <c r="Y19" i="18" s="1"/>
  <c r="V30" i="16"/>
  <c r="D145" i="24" s="1"/>
  <c r="V39" i="18"/>
  <c r="D110" i="24" s="1"/>
  <c r="V18" i="17"/>
  <c r="D116" i="24" s="1"/>
  <c r="AU33" i="16"/>
  <c r="X33" i="16" s="1"/>
  <c r="AU38" i="19"/>
  <c r="W38" i="19" s="1"/>
  <c r="V32" i="15"/>
  <c r="D169" i="24" s="1"/>
  <c r="AU34" i="20"/>
  <c r="X34" i="20" s="1"/>
  <c r="V17" i="20"/>
  <c r="D49" i="24" s="1"/>
  <c r="AU21" i="16"/>
  <c r="X21" i="16" s="1"/>
  <c r="V31" i="13"/>
  <c r="D212" i="24" s="1"/>
  <c r="AU34" i="11"/>
  <c r="X34" i="11" s="1"/>
  <c r="V36" i="21"/>
  <c r="D41" i="24" s="1"/>
  <c r="AU15" i="19"/>
  <c r="W15" i="19" s="1"/>
  <c r="AU35" i="18"/>
  <c r="X35" i="18" s="1"/>
  <c r="V38" i="21"/>
  <c r="D43" i="24" s="1"/>
  <c r="AU14" i="14"/>
  <c r="W14" i="14" s="1"/>
  <c r="AU33" i="18"/>
  <c r="W33" i="18" s="1"/>
  <c r="V16" i="20"/>
  <c r="D48" i="24" s="1"/>
  <c r="AU31" i="12"/>
  <c r="W31" i="12" s="1"/>
  <c r="AU31" i="21"/>
  <c r="X31" i="21" s="1"/>
  <c r="AU20" i="18"/>
  <c r="X20" i="18" s="1"/>
  <c r="V39" i="21"/>
  <c r="D44" i="24" s="1"/>
  <c r="V17" i="18"/>
  <c r="D93" i="24" s="1"/>
  <c r="AU22" i="8"/>
  <c r="Y22" i="8" s="1"/>
  <c r="V21" i="18"/>
  <c r="D97" i="24" s="1"/>
  <c r="V37" i="18"/>
  <c r="D108" i="24" s="1"/>
  <c r="AU37" i="16"/>
  <c r="X37" i="16" s="1"/>
  <c r="AU38" i="14"/>
  <c r="Y38" i="14" s="1"/>
  <c r="AU16" i="13"/>
  <c r="Y16" i="13" s="1"/>
  <c r="V31" i="16"/>
  <c r="D146" i="24" s="1"/>
  <c r="AU39" i="9"/>
  <c r="X39" i="9" s="1"/>
  <c r="AU20" i="20"/>
  <c r="Y20" i="20" s="1"/>
  <c r="V36" i="15"/>
  <c r="D173" i="24" s="1"/>
  <c r="V14" i="10"/>
  <c r="D266" i="24" s="1"/>
  <c r="AU23" i="8"/>
  <c r="X23" i="8" s="1"/>
  <c r="AU20" i="21"/>
  <c r="Y20" i="21" s="1"/>
  <c r="V15" i="20"/>
  <c r="D47" i="24" s="1"/>
  <c r="V23" i="16"/>
  <c r="D143" i="24" s="1"/>
  <c r="V15" i="12"/>
  <c r="D223" i="24" s="1"/>
  <c r="V32" i="10"/>
  <c r="D279" i="24" s="1"/>
  <c r="V21" i="9"/>
  <c r="D295" i="24" s="1"/>
  <c r="V39" i="10"/>
  <c r="D286" i="24" s="1"/>
  <c r="V15" i="10"/>
  <c r="D267" i="24" s="1"/>
  <c r="AU21" i="21"/>
  <c r="W21" i="21" s="1"/>
  <c r="AU14" i="21"/>
  <c r="X14" i="21" s="1"/>
  <c r="AU19" i="21"/>
  <c r="W19" i="21" s="1"/>
  <c r="AU22" i="17"/>
  <c r="Y22" i="17" s="1"/>
  <c r="V22" i="15"/>
  <c r="D164" i="24" s="1"/>
  <c r="V34" i="15"/>
  <c r="D171" i="24" s="1"/>
  <c r="V17" i="8"/>
  <c r="D313" i="24" s="1"/>
  <c r="V36" i="20"/>
  <c r="D63" i="24" s="1"/>
  <c r="V34" i="19"/>
  <c r="D83" i="24" s="1"/>
  <c r="V38" i="11"/>
  <c r="D263" i="24" s="1"/>
  <c r="V19" i="11"/>
  <c r="D249" i="24" s="1"/>
  <c r="V21" i="17"/>
  <c r="D119" i="24" s="1"/>
  <c r="V33" i="9"/>
  <c r="D302" i="24" s="1"/>
  <c r="V17" i="17"/>
  <c r="D115" i="24" s="1"/>
  <c r="AU21" i="15"/>
  <c r="Y21" i="15" s="1"/>
  <c r="V15" i="18"/>
  <c r="D91" i="24" s="1"/>
  <c r="AU19" i="14"/>
  <c r="X19" i="14" s="1"/>
  <c r="V15" i="13"/>
  <c r="D201" i="24" s="1"/>
  <c r="AU19" i="9"/>
  <c r="W19" i="9" s="1"/>
  <c r="AU37" i="13"/>
  <c r="Y37" i="13" s="1"/>
  <c r="V23" i="10"/>
  <c r="D275" i="24" s="1"/>
  <c r="AU33" i="20"/>
  <c r="Y33" i="20" s="1"/>
  <c r="AU20" i="17"/>
  <c r="X20" i="17" s="1"/>
  <c r="V38" i="16"/>
  <c r="D153" i="24" s="1"/>
  <c r="AU19" i="15"/>
  <c r="Y19" i="15" s="1"/>
  <c r="AU33" i="14"/>
  <c r="X33" i="14" s="1"/>
  <c r="AU36" i="17"/>
  <c r="X36" i="17" s="1"/>
  <c r="AU21" i="12"/>
  <c r="X21" i="12" s="1"/>
  <c r="V39" i="20"/>
  <c r="D66" i="24" s="1"/>
  <c r="V38" i="18"/>
  <c r="D109" i="24" s="1"/>
  <c r="AU35" i="15"/>
  <c r="X35" i="15" s="1"/>
  <c r="AU34" i="13"/>
  <c r="Y34" i="13" s="1"/>
  <c r="AU18" i="13"/>
  <c r="W18" i="13" s="1"/>
  <c r="AU22" i="12"/>
  <c r="Y22" i="12" s="1"/>
  <c r="V37" i="12"/>
  <c r="D240" i="24" s="1"/>
  <c r="AU37" i="11"/>
  <c r="Y37" i="11" s="1"/>
  <c r="AU21" i="8"/>
  <c r="Y21" i="8" s="1"/>
  <c r="AU18" i="20"/>
  <c r="X18" i="20" s="1"/>
  <c r="AU15" i="14"/>
  <c r="Y15" i="14" s="1"/>
  <c r="V20" i="12"/>
  <c r="D228" i="24" s="1"/>
  <c r="V22" i="18"/>
  <c r="D98" i="24" s="1"/>
  <c r="V37" i="17"/>
  <c r="D130" i="24" s="1"/>
  <c r="AU34" i="16"/>
  <c r="X34" i="16" s="1"/>
  <c r="AU22" i="14"/>
  <c r="W22" i="14" s="1"/>
  <c r="V14" i="12"/>
  <c r="D222" i="24" s="1"/>
  <c r="AU19" i="20"/>
  <c r="Y19" i="20" s="1"/>
  <c r="AU32" i="16"/>
  <c r="W32" i="16" s="1"/>
  <c r="AU16" i="15"/>
  <c r="W16" i="15" s="1"/>
  <c r="V22" i="11"/>
  <c r="D252" i="24" s="1"/>
  <c r="AU14" i="18"/>
  <c r="X14" i="18" s="1"/>
  <c r="V35" i="19"/>
  <c r="D84" i="24" s="1"/>
  <c r="AU22" i="13"/>
  <c r="X22" i="13" s="1"/>
  <c r="V15" i="8"/>
  <c r="D311" i="24" s="1"/>
  <c r="V17" i="21"/>
  <c r="D27" i="24" s="1"/>
  <c r="AU34" i="18"/>
  <c r="Y34" i="18" s="1"/>
  <c r="AU32" i="18"/>
  <c r="Y32" i="18" s="1"/>
  <c r="AU18" i="15"/>
  <c r="X18" i="15" s="1"/>
  <c r="V30" i="14"/>
  <c r="D189" i="24" s="1"/>
  <c r="V23" i="12"/>
  <c r="D231" i="24" s="1"/>
  <c r="V32" i="11"/>
  <c r="D257" i="24" s="1"/>
  <c r="AU23" i="9"/>
  <c r="W23" i="9" s="1"/>
  <c r="AU16" i="14"/>
  <c r="W16" i="14" s="1"/>
  <c r="V14" i="20"/>
  <c r="D46" i="24" s="1"/>
  <c r="AU18" i="11"/>
  <c r="Y18" i="11" s="1"/>
  <c r="AU18" i="19"/>
  <c r="X18" i="19" s="1"/>
  <c r="AU20" i="10"/>
  <c r="X20" i="10" s="1"/>
  <c r="AU14" i="9"/>
  <c r="X14" i="9" s="1"/>
  <c r="AU23" i="19"/>
  <c r="Y23" i="19" s="1"/>
  <c r="V22" i="10"/>
  <c r="D274" i="24" s="1"/>
  <c r="AU30" i="8"/>
  <c r="X30" i="8" s="1"/>
  <c r="V39" i="16"/>
  <c r="D154" i="24" s="1"/>
  <c r="V22" i="20"/>
  <c r="D54" i="24" s="1"/>
  <c r="V17" i="16"/>
  <c r="D137" i="24" s="1"/>
  <c r="V17" i="13"/>
  <c r="D203" i="24" s="1"/>
  <c r="V30" i="17"/>
  <c r="D123" i="24" s="1"/>
  <c r="V19" i="19"/>
  <c r="D73" i="24" s="1"/>
  <c r="V37" i="10"/>
  <c r="D284" i="24" s="1"/>
  <c r="AU32" i="20"/>
  <c r="Y32" i="20" s="1"/>
  <c r="V30" i="20"/>
  <c r="D57" i="24" s="1"/>
  <c r="V14" i="16"/>
  <c r="D134" i="24" s="1"/>
  <c r="V30" i="18"/>
  <c r="D101" i="24" s="1"/>
  <c r="AU17" i="15"/>
  <c r="X17" i="15" s="1"/>
  <c r="AU39" i="12"/>
  <c r="Y39" i="12" s="1"/>
  <c r="AU15" i="21"/>
  <c r="W15" i="21" s="1"/>
  <c r="AU16" i="18"/>
  <c r="Y16" i="18" s="1"/>
  <c r="AU15" i="17"/>
  <c r="Y15" i="17" s="1"/>
  <c r="V15" i="15"/>
  <c r="D157" i="24" s="1"/>
  <c r="AU14" i="15"/>
  <c r="W14" i="15" s="1"/>
  <c r="AU36" i="14"/>
  <c r="W36" i="14" s="1"/>
  <c r="V36" i="11"/>
  <c r="D261" i="24" s="1"/>
  <c r="V18" i="9"/>
  <c r="D292" i="24" s="1"/>
  <c r="AU33" i="21"/>
  <c r="W33" i="21" s="1"/>
  <c r="AU37" i="20"/>
  <c r="W37" i="20" s="1"/>
  <c r="V20" i="19"/>
  <c r="D74" i="24" s="1"/>
  <c r="AU36" i="13"/>
  <c r="X36" i="13" s="1"/>
  <c r="V20" i="11"/>
  <c r="D250" i="24" s="1"/>
  <c r="AU14" i="8"/>
  <c r="X14" i="8" s="1"/>
  <c r="V23" i="15"/>
  <c r="D165" i="24" s="1"/>
  <c r="AU35" i="12"/>
  <c r="X35" i="12" s="1"/>
  <c r="AU14" i="11"/>
  <c r="X14" i="11" s="1"/>
  <c r="V34" i="8"/>
  <c r="D325" i="24" s="1"/>
  <c r="V33" i="8"/>
  <c r="D324" i="24" s="1"/>
  <c r="V32" i="21"/>
  <c r="D37" i="24" s="1"/>
  <c r="V22" i="21"/>
  <c r="D32" i="24" s="1"/>
  <c r="V31" i="20"/>
  <c r="D58" i="24" s="1"/>
  <c r="AU21" i="19"/>
  <c r="W21" i="19" s="1"/>
  <c r="AU37" i="19"/>
  <c r="W37" i="19" s="1"/>
  <c r="AU31" i="18"/>
  <c r="W31" i="18" s="1"/>
  <c r="AU20" i="15"/>
  <c r="Y20" i="15" s="1"/>
  <c r="AU30" i="12"/>
  <c r="W30" i="12" s="1"/>
  <c r="AU17" i="12"/>
  <c r="W17" i="12" s="1"/>
  <c r="V39" i="11"/>
  <c r="D264" i="24" s="1"/>
  <c r="V34" i="10"/>
  <c r="D281" i="24" s="1"/>
  <c r="V16" i="9"/>
  <c r="D290" i="24" s="1"/>
  <c r="AU30" i="19"/>
  <c r="Y30" i="19" s="1"/>
  <c r="AU23" i="18"/>
  <c r="W23" i="18" s="1"/>
  <c r="AU19" i="17"/>
  <c r="X19" i="17" s="1"/>
  <c r="V14" i="13"/>
  <c r="D200" i="24" s="1"/>
  <c r="V21" i="11"/>
  <c r="D251" i="24" s="1"/>
  <c r="V17" i="9"/>
  <c r="D291" i="24" s="1"/>
  <c r="V36" i="9"/>
  <c r="D305" i="24" s="1"/>
  <c r="AU35" i="16"/>
  <c r="Y35" i="16" s="1"/>
  <c r="V18" i="16"/>
  <c r="D138" i="24" s="1"/>
  <c r="AU19" i="16"/>
  <c r="W19" i="16" s="1"/>
  <c r="V20" i="14"/>
  <c r="D184" i="24" s="1"/>
  <c r="V33" i="13"/>
  <c r="D214" i="24" s="1"/>
  <c r="V19" i="13"/>
  <c r="D205" i="24" s="1"/>
  <c r="AU21" i="13"/>
  <c r="X21" i="13" s="1"/>
  <c r="V19" i="12"/>
  <c r="D227" i="24" s="1"/>
  <c r="AU38" i="12"/>
  <c r="X38" i="12" s="1"/>
  <c r="V32" i="12"/>
  <c r="D235" i="24" s="1"/>
  <c r="V31" i="11"/>
  <c r="D256" i="24" s="1"/>
  <c r="V16" i="8"/>
  <c r="D312" i="24" s="1"/>
  <c r="V20" i="8"/>
  <c r="D316" i="24" s="1"/>
  <c r="V32" i="8"/>
  <c r="D323" i="24" s="1"/>
  <c r="V31" i="8"/>
  <c r="D322" i="24" s="1"/>
  <c r="AU18" i="12"/>
  <c r="X18" i="12" s="1"/>
  <c r="AU36" i="19"/>
  <c r="W36" i="19" s="1"/>
  <c r="AU15" i="16"/>
  <c r="Y15" i="16" s="1"/>
  <c r="AU20" i="16"/>
  <c r="Y20" i="16" s="1"/>
  <c r="V33" i="12"/>
  <c r="D236" i="24" s="1"/>
  <c r="AU35" i="9"/>
  <c r="X35" i="9" s="1"/>
  <c r="V39" i="8"/>
  <c r="D330" i="24" s="1"/>
  <c r="AU23" i="21"/>
  <c r="W23" i="21" s="1"/>
  <c r="V18" i="21"/>
  <c r="D28" i="24" s="1"/>
  <c r="V34" i="21"/>
  <c r="D39" i="24" s="1"/>
  <c r="V35" i="20"/>
  <c r="D62" i="24" s="1"/>
  <c r="V21" i="20"/>
  <c r="D53" i="24" s="1"/>
  <c r="V32" i="19"/>
  <c r="D81" i="24" s="1"/>
  <c r="AU16" i="19"/>
  <c r="Y16" i="19" s="1"/>
  <c r="V39" i="19"/>
  <c r="D88" i="24" s="1"/>
  <c r="V31" i="19"/>
  <c r="D80" i="24" s="1"/>
  <c r="V33" i="19"/>
  <c r="D82" i="24" s="1"/>
  <c r="V18" i="18"/>
  <c r="D94" i="24" s="1"/>
  <c r="V23" i="17"/>
  <c r="D121" i="24" s="1"/>
  <c r="V14" i="17"/>
  <c r="D112" i="24" s="1"/>
  <c r="V35" i="17"/>
  <c r="D128" i="24" s="1"/>
  <c r="V16" i="17"/>
  <c r="D114" i="24" s="1"/>
  <c r="V34" i="17"/>
  <c r="D127" i="24" s="1"/>
  <c r="AU39" i="15"/>
  <c r="X39" i="15" s="1"/>
  <c r="AU31" i="15"/>
  <c r="X31" i="15" s="1"/>
  <c r="AU38" i="15"/>
  <c r="Y38" i="15" s="1"/>
  <c r="AU37" i="15"/>
  <c r="W37" i="15" s="1"/>
  <c r="V17" i="14"/>
  <c r="D181" i="24" s="1"/>
  <c r="V31" i="14"/>
  <c r="D190" i="24" s="1"/>
  <c r="AU21" i="14"/>
  <c r="W21" i="14" s="1"/>
  <c r="AU23" i="14"/>
  <c r="W23" i="14" s="1"/>
  <c r="V18" i="14"/>
  <c r="D182" i="24" s="1"/>
  <c r="V39" i="14"/>
  <c r="D198" i="24" s="1"/>
  <c r="V32" i="14"/>
  <c r="D191" i="24" s="1"/>
  <c r="AU20" i="13"/>
  <c r="Y20" i="13" s="1"/>
  <c r="V38" i="13"/>
  <c r="D219" i="24" s="1"/>
  <c r="V30" i="13"/>
  <c r="D211" i="24" s="1"/>
  <c r="V39" i="13"/>
  <c r="D220" i="24" s="1"/>
  <c r="V23" i="11"/>
  <c r="D253" i="24" s="1"/>
  <c r="V30" i="11"/>
  <c r="D255" i="24" s="1"/>
  <c r="V16" i="11"/>
  <c r="D246" i="24" s="1"/>
  <c r="V33" i="11"/>
  <c r="D258" i="24" s="1"/>
  <c r="V31" i="10"/>
  <c r="D278" i="24" s="1"/>
  <c r="V18" i="10"/>
  <c r="D270" i="24" s="1"/>
  <c r="V36" i="10"/>
  <c r="D283" i="24" s="1"/>
  <c r="V19" i="10"/>
  <c r="D271" i="24" s="1"/>
  <c r="V38" i="10"/>
  <c r="D285" i="24" s="1"/>
  <c r="V35" i="10"/>
  <c r="D282" i="24" s="1"/>
  <c r="V16" i="10"/>
  <c r="D268" i="24" s="1"/>
  <c r="V30" i="10"/>
  <c r="D277" i="24" s="1"/>
  <c r="V21" i="10"/>
  <c r="D273" i="24" s="1"/>
  <c r="AU20" i="9"/>
  <c r="Y20" i="9" s="1"/>
  <c r="AU15" i="9"/>
  <c r="W15" i="9" s="1"/>
  <c r="V30" i="9"/>
  <c r="D299" i="24" s="1"/>
  <c r="V37" i="9"/>
  <c r="D306" i="24" s="1"/>
  <c r="V35" i="8"/>
  <c r="D326" i="24" s="1"/>
  <c r="AU22" i="9"/>
  <c r="Y22" i="9" s="1"/>
  <c r="V37" i="8"/>
  <c r="D328" i="24" s="1"/>
  <c r="V18" i="8"/>
  <c r="D314" i="24" s="1"/>
  <c r="V36" i="8"/>
  <c r="D327" i="24" s="1"/>
  <c r="X33" i="28"/>
  <c r="W33" i="28"/>
  <c r="Y33" i="28"/>
  <c r="Y15" i="28"/>
  <c r="X15" i="28"/>
  <c r="W15" i="28"/>
  <c r="Y17" i="28"/>
  <c r="X17" i="28"/>
  <c r="W17" i="28"/>
  <c r="X36" i="28"/>
  <c r="W36" i="28"/>
  <c r="Y36" i="28"/>
  <c r="X34" i="28"/>
  <c r="W34" i="28"/>
  <c r="Y34" i="28"/>
  <c r="X39" i="28"/>
  <c r="W39" i="28"/>
  <c r="Y39" i="28"/>
  <c r="X31" i="28"/>
  <c r="W31" i="28"/>
  <c r="Y31" i="28"/>
  <c r="Y23" i="28"/>
  <c r="W23" i="28"/>
  <c r="X23" i="28"/>
  <c r="Y20" i="28"/>
  <c r="W20" i="28"/>
  <c r="X20" i="28"/>
  <c r="Y19" i="28"/>
  <c r="W19" i="28"/>
  <c r="X19" i="28"/>
  <c r="X18" i="28"/>
  <c r="Y18" i="28"/>
  <c r="W18" i="28"/>
  <c r="Y21" i="28"/>
  <c r="W21" i="28"/>
  <c r="X21" i="28"/>
  <c r="Y22" i="28"/>
  <c r="W22" i="28"/>
  <c r="X22" i="28"/>
  <c r="Y14" i="28"/>
  <c r="X14" i="28"/>
  <c r="W14" i="28"/>
  <c r="X37" i="28"/>
  <c r="W37" i="28"/>
  <c r="Y37" i="28"/>
  <c r="X30" i="28"/>
  <c r="W30" i="28"/>
  <c r="Y30" i="28"/>
  <c r="X32" i="28"/>
  <c r="W32" i="28"/>
  <c r="Y32" i="28"/>
  <c r="Y16" i="28"/>
  <c r="X16" i="28"/>
  <c r="W16" i="28"/>
  <c r="X35" i="28"/>
  <c r="W35" i="28"/>
  <c r="Y35" i="28"/>
  <c r="X38" i="28"/>
  <c r="W38" i="28"/>
  <c r="Y38" i="28"/>
  <c r="X38" i="8"/>
  <c r="W38" i="8"/>
  <c r="Y38" i="8"/>
  <c r="X37" i="8"/>
  <c r="W37" i="8"/>
  <c r="Y37" i="8"/>
  <c r="X39" i="8"/>
  <c r="W39" i="8"/>
  <c r="Y39" i="8"/>
  <c r="Y18" i="8"/>
  <c r="X18" i="8"/>
  <c r="W18" i="8"/>
  <c r="X36" i="8"/>
  <c r="W36" i="8"/>
  <c r="Y36" i="8"/>
  <c r="Y17" i="8"/>
  <c r="X17" i="8"/>
  <c r="W17" i="8"/>
  <c r="Y16" i="8"/>
  <c r="X16" i="8"/>
  <c r="W16" i="8"/>
  <c r="X34" i="8"/>
  <c r="W34" i="8"/>
  <c r="Y34" i="8"/>
  <c r="Y15" i="8"/>
  <c r="X15" i="8"/>
  <c r="W15" i="8"/>
  <c r="X33" i="8"/>
  <c r="W33" i="8"/>
  <c r="Y33" i="8"/>
  <c r="X35" i="8"/>
  <c r="W35" i="8"/>
  <c r="Y35" i="8"/>
  <c r="X20" i="8"/>
  <c r="Y20" i="8"/>
  <c r="W20" i="8"/>
  <c r="X32" i="8"/>
  <c r="W32" i="8"/>
  <c r="Y32" i="8"/>
  <c r="X31" i="8"/>
  <c r="W31" i="8"/>
  <c r="Y31" i="8"/>
  <c r="Y18" i="9"/>
  <c r="W18" i="9"/>
  <c r="X18" i="9"/>
  <c r="X38" i="9"/>
  <c r="W38" i="9"/>
  <c r="Y38" i="9"/>
  <c r="X30" i="9"/>
  <c r="W30" i="9"/>
  <c r="Y30" i="9"/>
  <c r="X37" i="9"/>
  <c r="W37" i="9"/>
  <c r="Y37" i="9"/>
  <c r="X36" i="9"/>
  <c r="W36" i="9"/>
  <c r="Y36" i="9"/>
  <c r="Y21" i="9"/>
  <c r="W21" i="9"/>
  <c r="X21" i="9"/>
  <c r="Y17" i="9"/>
  <c r="X17" i="9"/>
  <c r="W17" i="9"/>
  <c r="Y16" i="9"/>
  <c r="X16" i="9"/>
  <c r="W16" i="9"/>
  <c r="X33" i="9"/>
  <c r="W33" i="9"/>
  <c r="Y33" i="9"/>
  <c r="X32" i="9"/>
  <c r="W32" i="9"/>
  <c r="Y32" i="9"/>
  <c r="W31" i="10"/>
  <c r="Y31" i="10"/>
  <c r="X31" i="10"/>
  <c r="Y18" i="10"/>
  <c r="X18" i="10"/>
  <c r="W18" i="10"/>
  <c r="X39" i="10"/>
  <c r="W39" i="10"/>
  <c r="Y39" i="10"/>
  <c r="W36" i="10"/>
  <c r="X36" i="10"/>
  <c r="Y36" i="10"/>
  <c r="X23" i="10"/>
  <c r="Y23" i="10"/>
  <c r="W23" i="10"/>
  <c r="Y19" i="10"/>
  <c r="X19" i="10"/>
  <c r="W19" i="10"/>
  <c r="X38" i="10"/>
  <c r="W38" i="10"/>
  <c r="Y38" i="10"/>
  <c r="W35" i="10"/>
  <c r="Y35" i="10"/>
  <c r="X35" i="10"/>
  <c r="Y16" i="10"/>
  <c r="X16" i="10"/>
  <c r="W16" i="10"/>
  <c r="W30" i="10"/>
  <c r="Y30" i="10"/>
  <c r="X30" i="10"/>
  <c r="X21" i="10"/>
  <c r="Y21" i="10"/>
  <c r="W21" i="10"/>
  <c r="Y14" i="10"/>
  <c r="X14" i="10"/>
  <c r="W14" i="10"/>
  <c r="W34" i="10"/>
  <c r="Y34" i="10"/>
  <c r="X34" i="10"/>
  <c r="Y17" i="10"/>
  <c r="X17" i="10"/>
  <c r="W17" i="10"/>
  <c r="X22" i="10"/>
  <c r="Y22" i="10"/>
  <c r="W22" i="10"/>
  <c r="X37" i="10"/>
  <c r="W37" i="10"/>
  <c r="Y37" i="10"/>
  <c r="W32" i="10"/>
  <c r="X32" i="10"/>
  <c r="Y32" i="10"/>
  <c r="Y15" i="10"/>
  <c r="X15" i="10"/>
  <c r="W15" i="10"/>
  <c r="X20" i="11"/>
  <c r="Y20" i="11"/>
  <c r="W20" i="11"/>
  <c r="W31" i="11"/>
  <c r="Y31" i="11"/>
  <c r="X31" i="11"/>
  <c r="W39" i="11"/>
  <c r="Y39" i="11"/>
  <c r="X39" i="11"/>
  <c r="X22" i="11"/>
  <c r="W22" i="11"/>
  <c r="Y22" i="11"/>
  <c r="X21" i="11"/>
  <c r="Y21" i="11"/>
  <c r="W21" i="11"/>
  <c r="W36" i="11"/>
  <c r="Y36" i="11"/>
  <c r="X36" i="11"/>
  <c r="W35" i="11"/>
  <c r="Y35" i="11"/>
  <c r="X35" i="11"/>
  <c r="X23" i="11"/>
  <c r="Y23" i="11"/>
  <c r="W23" i="11"/>
  <c r="Y19" i="11"/>
  <c r="X19" i="11"/>
  <c r="W19" i="11"/>
  <c r="W38" i="11"/>
  <c r="Y38" i="11"/>
  <c r="X38" i="11"/>
  <c r="W30" i="11"/>
  <c r="Y30" i="11"/>
  <c r="X30" i="11"/>
  <c r="Y16" i="11"/>
  <c r="X16" i="11"/>
  <c r="W16" i="11"/>
  <c r="W33" i="11"/>
  <c r="Y33" i="11"/>
  <c r="X33" i="11"/>
  <c r="Y15" i="11"/>
  <c r="W15" i="11"/>
  <c r="X15" i="11"/>
  <c r="W32" i="11"/>
  <c r="Y32" i="11"/>
  <c r="X32" i="11"/>
  <c r="Y23" i="12"/>
  <c r="X23" i="12"/>
  <c r="W23" i="12"/>
  <c r="X37" i="12"/>
  <c r="W37" i="12"/>
  <c r="Y37" i="12"/>
  <c r="W15" i="12"/>
  <c r="Y15" i="12"/>
  <c r="X15" i="12"/>
  <c r="X32" i="12"/>
  <c r="W32" i="12"/>
  <c r="Y32" i="12"/>
  <c r="X33" i="12"/>
  <c r="W33" i="12"/>
  <c r="Y33" i="12"/>
  <c r="Y19" i="12"/>
  <c r="X19" i="12"/>
  <c r="W19" i="12"/>
  <c r="Y20" i="12"/>
  <c r="X20" i="12"/>
  <c r="W20" i="12"/>
  <c r="W14" i="12"/>
  <c r="Y14" i="12"/>
  <c r="X14" i="12"/>
  <c r="W17" i="13"/>
  <c r="Y17" i="13"/>
  <c r="X17" i="13"/>
  <c r="X33" i="13"/>
  <c r="W33" i="13"/>
  <c r="Y33" i="13"/>
  <c r="W14" i="13"/>
  <c r="Y14" i="13"/>
  <c r="X14" i="13"/>
  <c r="X19" i="13"/>
  <c r="W19" i="13"/>
  <c r="Y19" i="13"/>
  <c r="X38" i="13"/>
  <c r="W38" i="13"/>
  <c r="Y38" i="13"/>
  <c r="X30" i="13"/>
  <c r="W30" i="13"/>
  <c r="Y30" i="13"/>
  <c r="X35" i="13"/>
  <c r="W35" i="13"/>
  <c r="Y35" i="13"/>
  <c r="W15" i="13"/>
  <c r="Y15" i="13"/>
  <c r="X15" i="13"/>
  <c r="X39" i="13"/>
  <c r="W39" i="13"/>
  <c r="Y39" i="13"/>
  <c r="X31" i="13"/>
  <c r="W31" i="13"/>
  <c r="Y31" i="13"/>
  <c r="X20" i="14"/>
  <c r="W20" i="14"/>
  <c r="Y20" i="14"/>
  <c r="W30" i="14"/>
  <c r="Y30" i="14"/>
  <c r="X30" i="14"/>
  <c r="X35" i="14"/>
  <c r="W35" i="14"/>
  <c r="Y35" i="14"/>
  <c r="W17" i="14"/>
  <c r="Y17" i="14"/>
  <c r="X17" i="14"/>
  <c r="W31" i="14"/>
  <c r="Y31" i="14"/>
  <c r="X31" i="14"/>
  <c r="W18" i="14"/>
  <c r="Y18" i="14"/>
  <c r="X18" i="14"/>
  <c r="X39" i="14"/>
  <c r="W39" i="14"/>
  <c r="Y39" i="14"/>
  <c r="W32" i="14"/>
  <c r="Y32" i="14"/>
  <c r="X32" i="14"/>
  <c r="X32" i="15"/>
  <c r="Y32" i="15"/>
  <c r="W32" i="15"/>
  <c r="Y23" i="15"/>
  <c r="X23" i="15"/>
  <c r="W23" i="15"/>
  <c r="Y22" i="15"/>
  <c r="W22" i="15"/>
  <c r="X22" i="15"/>
  <c r="X34" i="15"/>
  <c r="Y34" i="15"/>
  <c r="W34" i="15"/>
  <c r="X36" i="15"/>
  <c r="Y36" i="15"/>
  <c r="W36" i="15"/>
  <c r="X15" i="15"/>
  <c r="W15" i="15"/>
  <c r="Y15" i="15"/>
  <c r="Y14" i="16"/>
  <c r="X14" i="16"/>
  <c r="W14" i="16"/>
  <c r="X23" i="16"/>
  <c r="Y23" i="16"/>
  <c r="W23" i="16"/>
  <c r="X39" i="16"/>
  <c r="W39" i="16"/>
  <c r="Y39" i="16"/>
  <c r="X31" i="16"/>
  <c r="W31" i="16"/>
  <c r="Y31" i="16"/>
  <c r="Y18" i="16"/>
  <c r="X18" i="16"/>
  <c r="W18" i="16"/>
  <c r="X38" i="16"/>
  <c r="W38" i="16"/>
  <c r="Y38" i="16"/>
  <c r="X30" i="16"/>
  <c r="W30" i="16"/>
  <c r="Y30" i="16"/>
  <c r="Y17" i="16"/>
  <c r="X17" i="16"/>
  <c r="W17" i="16"/>
  <c r="Y23" i="17"/>
  <c r="X23" i="17"/>
  <c r="W23" i="17"/>
  <c r="Y14" i="17"/>
  <c r="X14" i="17"/>
  <c r="W14" i="17"/>
  <c r="X32" i="17"/>
  <c r="W32" i="17"/>
  <c r="Y32" i="17"/>
  <c r="X35" i="17"/>
  <c r="W35" i="17"/>
  <c r="Y35" i="17"/>
  <c r="Y16" i="17"/>
  <c r="X16" i="17"/>
  <c r="W16" i="17"/>
  <c r="X34" i="17"/>
  <c r="W34" i="17"/>
  <c r="Y34" i="17"/>
  <c r="X37" i="17"/>
  <c r="W37" i="17"/>
  <c r="Y37" i="17"/>
  <c r="X39" i="17"/>
  <c r="W39" i="17"/>
  <c r="Y39" i="17"/>
  <c r="Y18" i="17"/>
  <c r="X18" i="17"/>
  <c r="W18" i="17"/>
  <c r="Y17" i="17"/>
  <c r="X17" i="17"/>
  <c r="W17" i="17"/>
  <c r="X21" i="17"/>
  <c r="Y21" i="17"/>
  <c r="W21" i="17"/>
  <c r="X38" i="17"/>
  <c r="W38" i="17"/>
  <c r="Y38" i="17"/>
  <c r="X30" i="17"/>
  <c r="W30" i="17"/>
  <c r="Y30" i="17"/>
  <c r="X18" i="18"/>
  <c r="W18" i="18"/>
  <c r="Y18" i="18"/>
  <c r="X38" i="18"/>
  <c r="W38" i="18"/>
  <c r="Y38" i="18"/>
  <c r="X30" i="18"/>
  <c r="W30" i="18"/>
  <c r="Y30" i="18"/>
  <c r="X17" i="18"/>
  <c r="W17" i="18"/>
  <c r="Y17" i="18"/>
  <c r="X37" i="18"/>
  <c r="W37" i="18"/>
  <c r="Y37" i="18"/>
  <c r="X15" i="18"/>
  <c r="W15" i="18"/>
  <c r="Y15" i="18"/>
  <c r="X39" i="18"/>
  <c r="W39" i="18"/>
  <c r="Y39" i="18"/>
  <c r="X22" i="18"/>
  <c r="Y22" i="18"/>
  <c r="W22" i="18"/>
  <c r="X21" i="18"/>
  <c r="Y21" i="18"/>
  <c r="W21" i="18"/>
  <c r="I47" i="18"/>
  <c r="G47" i="18"/>
  <c r="Y19" i="19"/>
  <c r="X19" i="19"/>
  <c r="W19" i="19"/>
  <c r="X35" i="19"/>
  <c r="W35" i="19"/>
  <c r="Y35" i="19"/>
  <c r="I47" i="19"/>
  <c r="G47" i="19"/>
  <c r="Y14" i="19"/>
  <c r="X14" i="19"/>
  <c r="W14" i="19"/>
  <c r="Y20" i="19"/>
  <c r="X20" i="19"/>
  <c r="W20" i="19"/>
  <c r="X32" i="19"/>
  <c r="W32" i="19"/>
  <c r="Y32" i="19"/>
  <c r="X39" i="19"/>
  <c r="W39" i="19"/>
  <c r="Y39" i="19"/>
  <c r="X31" i="19"/>
  <c r="W31" i="19"/>
  <c r="Y31" i="19"/>
  <c r="X34" i="19"/>
  <c r="W34" i="19"/>
  <c r="Y34" i="19"/>
  <c r="X33" i="19"/>
  <c r="W33" i="19"/>
  <c r="Y33" i="19"/>
  <c r="X30" i="20"/>
  <c r="W30" i="20"/>
  <c r="Y30" i="20"/>
  <c r="X35" i="20"/>
  <c r="W35" i="20"/>
  <c r="Y35" i="20"/>
  <c r="X21" i="20"/>
  <c r="Y21" i="20"/>
  <c r="W21" i="20"/>
  <c r="X39" i="20"/>
  <c r="W39" i="20"/>
  <c r="Y39" i="20"/>
  <c r="X22" i="20"/>
  <c r="Y22" i="20"/>
  <c r="W22" i="20"/>
  <c r="X36" i="20"/>
  <c r="W36" i="20"/>
  <c r="Y36" i="20"/>
  <c r="X31" i="20"/>
  <c r="W31" i="20"/>
  <c r="Y31" i="20"/>
  <c r="Y15" i="20"/>
  <c r="X15" i="20"/>
  <c r="W15" i="20"/>
  <c r="G47" i="20"/>
  <c r="Y14" i="20"/>
  <c r="X14" i="20"/>
  <c r="W14" i="20"/>
  <c r="Y17" i="20"/>
  <c r="X17" i="20"/>
  <c r="W17" i="20"/>
  <c r="Y16" i="20"/>
  <c r="X16" i="20"/>
  <c r="W16" i="20"/>
  <c r="X32" i="21"/>
  <c r="W32" i="21"/>
  <c r="Y32" i="21"/>
  <c r="X39" i="21"/>
  <c r="W39" i="21"/>
  <c r="Y39" i="21"/>
  <c r="W18" i="21"/>
  <c r="X18" i="21"/>
  <c r="Y18" i="21"/>
  <c r="X34" i="21"/>
  <c r="W34" i="21"/>
  <c r="Y34" i="21"/>
  <c r="X22" i="21"/>
  <c r="W22" i="21"/>
  <c r="Y22" i="21"/>
  <c r="X36" i="21"/>
  <c r="W36" i="21"/>
  <c r="Y36" i="21"/>
  <c r="W17" i="21"/>
  <c r="X17" i="21"/>
  <c r="Y17" i="21"/>
  <c r="X35" i="21"/>
  <c r="W35" i="21"/>
  <c r="Y35" i="21"/>
  <c r="X38" i="21"/>
  <c r="W38" i="21"/>
  <c r="Y38" i="21"/>
  <c r="X37" i="21"/>
  <c r="W37" i="21"/>
  <c r="Y37" i="21"/>
  <c r="N5" i="26" l="1"/>
  <c r="M5" i="26"/>
  <c r="I47" i="10"/>
  <c r="F8" i="26"/>
  <c r="G8" i="26"/>
  <c r="M10" i="26"/>
  <c r="F9" i="26"/>
  <c r="BE52" i="18"/>
  <c r="V47" i="18" s="1"/>
  <c r="BE52" i="19"/>
  <c r="V47" i="19" s="1"/>
  <c r="N10" i="26"/>
  <c r="G9" i="26"/>
  <c r="N3" i="26"/>
  <c r="F5" i="26"/>
  <c r="G5" i="26"/>
  <c r="M3" i="26"/>
  <c r="M6" i="26"/>
  <c r="G7" i="26"/>
  <c r="N6" i="26"/>
  <c r="F7" i="26"/>
  <c r="G47" i="9"/>
  <c r="I47" i="16"/>
  <c r="G47" i="16"/>
  <c r="I47" i="17"/>
  <c r="C396" i="24"/>
  <c r="F396" i="24" s="1"/>
  <c r="C352" i="24"/>
  <c r="F352" i="24" s="1"/>
  <c r="A362" i="24"/>
  <c r="C361" i="24"/>
  <c r="F361" i="24" s="1"/>
  <c r="A374" i="24"/>
  <c r="C373" i="24"/>
  <c r="F373" i="24" s="1"/>
  <c r="A439" i="24"/>
  <c r="C438" i="24"/>
  <c r="F438" i="24" s="1"/>
  <c r="A417" i="24"/>
  <c r="C416" i="24"/>
  <c r="F416" i="24" s="1"/>
  <c r="A406" i="24"/>
  <c r="C405" i="24"/>
  <c r="F405" i="24" s="1"/>
  <c r="A385" i="24"/>
  <c r="C384" i="24"/>
  <c r="F384" i="24" s="1"/>
  <c r="C428" i="24"/>
  <c r="F428" i="24" s="1"/>
  <c r="A429" i="24"/>
  <c r="C341" i="24"/>
  <c r="F341" i="24" s="1"/>
  <c r="G47" i="11"/>
  <c r="I47" i="11"/>
  <c r="I47" i="12"/>
  <c r="G47" i="12"/>
  <c r="G47" i="13"/>
  <c r="I47" i="13"/>
  <c r="I47" i="14"/>
  <c r="I47" i="20"/>
  <c r="G47" i="21"/>
  <c r="I47" i="21"/>
  <c r="G47" i="8"/>
  <c r="I47" i="8"/>
  <c r="BE52" i="8"/>
  <c r="V47" i="8" s="1"/>
  <c r="I47" i="9"/>
  <c r="BE52" i="9"/>
  <c r="V47" i="9" s="1"/>
  <c r="BE52" i="10"/>
  <c r="V47" i="10" s="1"/>
  <c r="G47" i="10"/>
  <c r="BE52" i="11"/>
  <c r="V47" i="11" s="1"/>
  <c r="BE52" i="12"/>
  <c r="V47" i="12" s="1"/>
  <c r="BE52" i="13"/>
  <c r="V47" i="13" s="1"/>
  <c r="G47" i="14"/>
  <c r="BE52" i="14"/>
  <c r="V47" i="14" s="1"/>
  <c r="G47" i="15"/>
  <c r="I47" i="15"/>
  <c r="BE52" i="15"/>
  <c r="V47" i="15" s="1"/>
  <c r="BE52" i="16"/>
  <c r="V47" i="16" s="1"/>
  <c r="BE52" i="17"/>
  <c r="V47" i="17" s="1"/>
  <c r="G47" i="17"/>
  <c r="BE52" i="20"/>
  <c r="V47" i="20" s="1"/>
  <c r="BE52" i="21"/>
  <c r="V47" i="21" s="1"/>
  <c r="Y23" i="20"/>
  <c r="W23" i="20"/>
  <c r="W36" i="18"/>
  <c r="X36" i="18"/>
  <c r="Y16" i="16"/>
  <c r="X16" i="16"/>
  <c r="Y34" i="14"/>
  <c r="W34" i="14"/>
  <c r="X16" i="21"/>
  <c r="Y16" i="21"/>
  <c r="W31" i="17"/>
  <c r="X31" i="17"/>
  <c r="Y36" i="16"/>
  <c r="X36" i="16"/>
  <c r="W30" i="21"/>
  <c r="X30" i="21"/>
  <c r="W38" i="20"/>
  <c r="X38" i="20"/>
  <c r="X17" i="11"/>
  <c r="Y17" i="11"/>
  <c r="X37" i="13"/>
  <c r="Y22" i="19"/>
  <c r="X33" i="15"/>
  <c r="W32" i="13"/>
  <c r="W22" i="19"/>
  <c r="W22" i="16"/>
  <c r="W33" i="15"/>
  <c r="W31" i="9"/>
  <c r="W33" i="17"/>
  <c r="Y32" i="13"/>
  <c r="X37" i="14"/>
  <c r="X33" i="17"/>
  <c r="W34" i="12"/>
  <c r="W30" i="15"/>
  <c r="Y34" i="9"/>
  <c r="Y31" i="9"/>
  <c r="Y22" i="16"/>
  <c r="Y37" i="14"/>
  <c r="X34" i="12"/>
  <c r="Y19" i="8"/>
  <c r="X34" i="9"/>
  <c r="X23" i="13"/>
  <c r="W17" i="19"/>
  <c r="W23" i="13"/>
  <c r="Y30" i="15"/>
  <c r="X17" i="19"/>
  <c r="X33" i="10"/>
  <c r="Y33" i="10"/>
  <c r="W36" i="12"/>
  <c r="X36" i="12"/>
  <c r="X19" i="18"/>
  <c r="X19" i="8"/>
  <c r="Y38" i="19"/>
  <c r="W14" i="9"/>
  <c r="X19" i="9"/>
  <c r="W19" i="18"/>
  <c r="Y21" i="16"/>
  <c r="W21" i="16"/>
  <c r="W34" i="11"/>
  <c r="W16" i="13"/>
  <c r="W31" i="21"/>
  <c r="X31" i="12"/>
  <c r="Y31" i="21"/>
  <c r="Y34" i="11"/>
  <c r="W22" i="12"/>
  <c r="X22" i="17"/>
  <c r="X38" i="19"/>
  <c r="W22" i="17"/>
  <c r="Y33" i="16"/>
  <c r="Y35" i="18"/>
  <c r="W35" i="18"/>
  <c r="W33" i="16"/>
  <c r="Y33" i="18"/>
  <c r="X33" i="18"/>
  <c r="X15" i="19"/>
  <c r="Y15" i="19"/>
  <c r="X14" i="14"/>
  <c r="Y14" i="14"/>
  <c r="Y18" i="19"/>
  <c r="W14" i="18"/>
  <c r="Y34" i="20"/>
  <c r="W37" i="11"/>
  <c r="W14" i="11"/>
  <c r="W34" i="20"/>
  <c r="W37" i="13"/>
  <c r="Y14" i="18"/>
  <c r="W20" i="21"/>
  <c r="X21" i="8"/>
  <c r="Y22" i="13"/>
  <c r="Y31" i="12"/>
  <c r="X20" i="21"/>
  <c r="W33" i="20"/>
  <c r="Y21" i="21"/>
  <c r="X23" i="19"/>
  <c r="X17" i="12"/>
  <c r="W22" i="13"/>
  <c r="Y17" i="12"/>
  <c r="X22" i="8"/>
  <c r="W23" i="19"/>
  <c r="X19" i="21"/>
  <c r="W38" i="14"/>
  <c r="X38" i="14"/>
  <c r="Y14" i="21"/>
  <c r="W14" i="21"/>
  <c r="W20" i="18"/>
  <c r="W36" i="17"/>
  <c r="Y37" i="16"/>
  <c r="Y35" i="15"/>
  <c r="X37" i="19"/>
  <c r="W35" i="15"/>
  <c r="Y20" i="18"/>
  <c r="W37" i="16"/>
  <c r="Y19" i="14"/>
  <c r="X22" i="14"/>
  <c r="X15" i="9"/>
  <c r="Y32" i="16"/>
  <c r="W19" i="20"/>
  <c r="W19" i="14"/>
  <c r="Y15" i="9"/>
  <c r="Y19" i="21"/>
  <c r="X21" i="21"/>
  <c r="X19" i="20"/>
  <c r="X16" i="13"/>
  <c r="W22" i="8"/>
  <c r="X34" i="18"/>
  <c r="X36" i="14"/>
  <c r="W15" i="17"/>
  <c r="W20" i="20"/>
  <c r="W39" i="12"/>
  <c r="Y39" i="9"/>
  <c r="Y35" i="12"/>
  <c r="W35" i="12"/>
  <c r="X20" i="16"/>
  <c r="X20" i="20"/>
  <c r="W20" i="17"/>
  <c r="W31" i="15"/>
  <c r="Y33" i="14"/>
  <c r="X39" i="12"/>
  <c r="W39" i="9"/>
  <c r="Y14" i="8"/>
  <c r="X15" i="17"/>
  <c r="Y30" i="8"/>
  <c r="Y36" i="13"/>
  <c r="Y19" i="9"/>
  <c r="Y20" i="17"/>
  <c r="Y31" i="15"/>
  <c r="W33" i="14"/>
  <c r="W18" i="20"/>
  <c r="Y15" i="21"/>
  <c r="Y23" i="21"/>
  <c r="X15" i="14"/>
  <c r="W23" i="8"/>
  <c r="Y23" i="8"/>
  <c r="X23" i="21"/>
  <c r="X37" i="11"/>
  <c r="W20" i="10"/>
  <c r="W30" i="19"/>
  <c r="Y17" i="15"/>
  <c r="X30" i="19"/>
  <c r="X33" i="20"/>
  <c r="X15" i="21"/>
  <c r="W35" i="16"/>
  <c r="Y20" i="10"/>
  <c r="Y14" i="11"/>
  <c r="W16" i="18"/>
  <c r="W20" i="16"/>
  <c r="X16" i="18"/>
  <c r="Y14" i="15"/>
  <c r="X14" i="15"/>
  <c r="Y38" i="12"/>
  <c r="Y14" i="9"/>
  <c r="W20" i="9"/>
  <c r="W18" i="19"/>
  <c r="W21" i="15"/>
  <c r="Y18" i="15"/>
  <c r="W15" i="14"/>
  <c r="W38" i="12"/>
  <c r="X20" i="9"/>
  <c r="W17" i="15"/>
  <c r="W18" i="15"/>
  <c r="X21" i="15"/>
  <c r="W21" i="8"/>
  <c r="Y34" i="16"/>
  <c r="Y22" i="14"/>
  <c r="W34" i="18"/>
  <c r="Y36" i="17"/>
  <c r="X32" i="16"/>
  <c r="X33" i="21"/>
  <c r="X34" i="13"/>
  <c r="X32" i="20"/>
  <c r="Y19" i="17"/>
  <c r="W34" i="16"/>
  <c r="X16" i="14"/>
  <c r="X18" i="13"/>
  <c r="Y37" i="20"/>
  <c r="Y16" i="14"/>
  <c r="Y18" i="13"/>
  <c r="W30" i="8"/>
  <c r="W18" i="12"/>
  <c r="Y21" i="12"/>
  <c r="W18" i="11"/>
  <c r="X35" i="16"/>
  <c r="X22" i="12"/>
  <c r="W34" i="13"/>
  <c r="W32" i="20"/>
  <c r="Y31" i="18"/>
  <c r="X37" i="20"/>
  <c r="X23" i="9"/>
  <c r="X31" i="18"/>
  <c r="Y16" i="15"/>
  <c r="Y23" i="9"/>
  <c r="Y18" i="20"/>
  <c r="W32" i="18"/>
  <c r="X16" i="15"/>
  <c r="W19" i="15"/>
  <c r="Y18" i="12"/>
  <c r="X18" i="11"/>
  <c r="W39" i="15"/>
  <c r="W21" i="12"/>
  <c r="Y37" i="19"/>
  <c r="X32" i="18"/>
  <c r="X19" i="15"/>
  <c r="Y36" i="14"/>
  <c r="W14" i="8"/>
  <c r="Y33" i="21"/>
  <c r="Y21" i="19"/>
  <c r="Y39" i="15"/>
  <c r="X19" i="16"/>
  <c r="X30" i="12"/>
  <c r="X20" i="15"/>
  <c r="W16" i="19"/>
  <c r="X23" i="18"/>
  <c r="W20" i="15"/>
  <c r="X21" i="14"/>
  <c r="W36" i="13"/>
  <c r="X16" i="19"/>
  <c r="X36" i="19"/>
  <c r="Y23" i="18"/>
  <c r="Y35" i="9"/>
  <c r="X38" i="15"/>
  <c r="Y36" i="19"/>
  <c r="W38" i="15"/>
  <c r="Y21" i="14"/>
  <c r="W35" i="9"/>
  <c r="Y21" i="13"/>
  <c r="X20" i="13"/>
  <c r="X21" i="19"/>
  <c r="W19" i="17"/>
  <c r="Y30" i="12"/>
  <c r="X23" i="14"/>
  <c r="Y19" i="16"/>
  <c r="W15" i="16"/>
  <c r="X15" i="16"/>
  <c r="W21" i="13"/>
  <c r="W22" i="9"/>
  <c r="Y37" i="15"/>
  <c r="X37" i="15"/>
  <c r="W20" i="13"/>
  <c r="X22" i="9"/>
  <c r="Y23" i="14"/>
  <c r="S78" i="29"/>
  <c r="B78" i="29"/>
  <c r="S73" i="29"/>
  <c r="B73" i="29"/>
  <c r="S68" i="29"/>
  <c r="B68" i="29"/>
  <c r="S63" i="29"/>
  <c r="B63" i="29"/>
  <c r="S58" i="29"/>
  <c r="B58" i="29"/>
  <c r="S53" i="29"/>
  <c r="B53" i="29"/>
  <c r="S47" i="29"/>
  <c r="B47" i="29"/>
  <c r="S42" i="29"/>
  <c r="B42" i="29"/>
  <c r="S37" i="29"/>
  <c r="B37" i="29"/>
  <c r="S32" i="29"/>
  <c r="B32" i="29"/>
  <c r="S27" i="29"/>
  <c r="B27" i="29"/>
  <c r="S22" i="29"/>
  <c r="B22" i="29"/>
  <c r="S17" i="29"/>
  <c r="B17" i="29"/>
  <c r="S12" i="29"/>
  <c r="B12" i="29"/>
  <c r="S7" i="29"/>
  <c r="B7" i="29"/>
  <c r="S2" i="29"/>
  <c r="B2" i="29"/>
  <c r="C385" i="24" l="1"/>
  <c r="F385" i="24" s="1"/>
  <c r="A363" i="24"/>
  <c r="C362" i="24"/>
  <c r="F362" i="24" s="1"/>
  <c r="A407" i="24"/>
  <c r="C406" i="24"/>
  <c r="F406" i="24" s="1"/>
  <c r="A418" i="24"/>
  <c r="C417" i="24"/>
  <c r="F417" i="24" s="1"/>
  <c r="A440" i="24"/>
  <c r="C439" i="24"/>
  <c r="F439" i="24" s="1"/>
  <c r="C429" i="24"/>
  <c r="F429" i="24" s="1"/>
  <c r="C374" i="24"/>
  <c r="F374" i="24" s="1"/>
  <c r="BP63" i="27"/>
  <c r="BO63" i="27"/>
  <c r="BN63" i="27"/>
  <c r="BM63" i="27"/>
  <c r="BL63" i="27"/>
  <c r="BB63" i="27"/>
  <c r="BD63" i="27" s="1"/>
  <c r="BA63" i="27"/>
  <c r="AZ63" i="27"/>
  <c r="AY63" i="27"/>
  <c r="BP62" i="27"/>
  <c r="BO62" i="27"/>
  <c r="BN62" i="27"/>
  <c r="BM62" i="27"/>
  <c r="BL62" i="27"/>
  <c r="BB62" i="27"/>
  <c r="BD62" i="27" s="1"/>
  <c r="BA62" i="27"/>
  <c r="AZ62" i="27"/>
  <c r="AY62" i="27"/>
  <c r="BP61" i="27"/>
  <c r="BO61" i="27"/>
  <c r="BN61" i="27"/>
  <c r="BM61" i="27"/>
  <c r="BL61" i="27"/>
  <c r="BB61" i="27"/>
  <c r="BD61" i="27" s="1"/>
  <c r="BA61" i="27"/>
  <c r="AZ61" i="27"/>
  <c r="AY61" i="27"/>
  <c r="BP60" i="27"/>
  <c r="BO60" i="27"/>
  <c r="BN60" i="27"/>
  <c r="BM60" i="27"/>
  <c r="BL60" i="27"/>
  <c r="BB60" i="27"/>
  <c r="BD60" i="27" s="1"/>
  <c r="BA60" i="27"/>
  <c r="AZ60" i="27"/>
  <c r="AY60" i="27"/>
  <c r="BP59" i="27"/>
  <c r="BO59" i="27"/>
  <c r="BN59" i="27"/>
  <c r="BM59" i="27"/>
  <c r="BL59" i="27"/>
  <c r="BB59" i="27"/>
  <c r="BD59" i="27" s="1"/>
  <c r="BA59" i="27"/>
  <c r="AZ59" i="27"/>
  <c r="AY59" i="27"/>
  <c r="BP58" i="27"/>
  <c r="BO58" i="27"/>
  <c r="BN58" i="27"/>
  <c r="BM58" i="27"/>
  <c r="BL58" i="27"/>
  <c r="BB58" i="27"/>
  <c r="BD58" i="27" s="1"/>
  <c r="BA58" i="27"/>
  <c r="AZ58" i="27"/>
  <c r="AY58" i="27"/>
  <c r="BP57" i="27"/>
  <c r="BO57" i="27"/>
  <c r="BN57" i="27"/>
  <c r="BM57" i="27"/>
  <c r="BL57" i="27"/>
  <c r="BB57" i="27"/>
  <c r="BD57" i="27" s="1"/>
  <c r="BA57" i="27"/>
  <c r="AZ57" i="27"/>
  <c r="AY57" i="27"/>
  <c r="BP56" i="27"/>
  <c r="BO56" i="27"/>
  <c r="BN56" i="27"/>
  <c r="BM56" i="27"/>
  <c r="BL56" i="27"/>
  <c r="BB56" i="27"/>
  <c r="BD56" i="27" s="1"/>
  <c r="BA56" i="27"/>
  <c r="AZ56" i="27"/>
  <c r="AY56" i="27"/>
  <c r="BP55" i="27"/>
  <c r="BO55" i="27"/>
  <c r="BN55" i="27"/>
  <c r="BM55" i="27"/>
  <c r="BL55" i="27"/>
  <c r="BB55" i="27"/>
  <c r="BD55" i="27" s="1"/>
  <c r="BA55" i="27"/>
  <c r="AZ55" i="27"/>
  <c r="AY55" i="27"/>
  <c r="BP54" i="27"/>
  <c r="BO54" i="27"/>
  <c r="BN54" i="27"/>
  <c r="BM54" i="27"/>
  <c r="BL54" i="27"/>
  <c r="BB54" i="27"/>
  <c r="BD54" i="27" s="1"/>
  <c r="BA54" i="27"/>
  <c r="AZ54" i="27"/>
  <c r="AY54" i="27"/>
  <c r="BP53" i="27"/>
  <c r="BO53" i="27"/>
  <c r="BN53" i="27"/>
  <c r="BM53" i="27"/>
  <c r="BL53" i="27"/>
  <c r="BB53" i="27"/>
  <c r="BD53" i="27" s="1"/>
  <c r="BA53" i="27"/>
  <c r="AZ53" i="27"/>
  <c r="AY53" i="27"/>
  <c r="BP52" i="27"/>
  <c r="BO52" i="27"/>
  <c r="BN52" i="27"/>
  <c r="BM52" i="27"/>
  <c r="BL52" i="27"/>
  <c r="BB52" i="27"/>
  <c r="BD52" i="27" s="1"/>
  <c r="BA52" i="27"/>
  <c r="AZ52" i="27"/>
  <c r="AY52" i="27"/>
  <c r="BP51" i="27"/>
  <c r="BO51" i="27"/>
  <c r="BN51" i="27"/>
  <c r="BM51" i="27"/>
  <c r="BL51" i="27"/>
  <c r="BB51" i="27"/>
  <c r="BD51" i="27" s="1"/>
  <c r="BA51" i="27"/>
  <c r="AZ51" i="27"/>
  <c r="BC51" i="27" s="1"/>
  <c r="AY51" i="27"/>
  <c r="BP50" i="27"/>
  <c r="BO50" i="27"/>
  <c r="BN50" i="27"/>
  <c r="BM50" i="27"/>
  <c r="BL50" i="27"/>
  <c r="BB50" i="27"/>
  <c r="BD50" i="27" s="1"/>
  <c r="BA50" i="27"/>
  <c r="AZ50" i="27"/>
  <c r="AY50" i="27"/>
  <c r="BP49" i="27"/>
  <c r="BO49" i="27"/>
  <c r="BN49" i="27"/>
  <c r="BM49" i="27"/>
  <c r="BL49" i="27"/>
  <c r="BB49" i="27"/>
  <c r="BD49" i="27" s="1"/>
  <c r="BA49" i="27"/>
  <c r="AZ49" i="27"/>
  <c r="AY49" i="27"/>
  <c r="BP48" i="27"/>
  <c r="BO48" i="27"/>
  <c r="BN48" i="27"/>
  <c r="BM48" i="27"/>
  <c r="BL48" i="27"/>
  <c r="BB48" i="27"/>
  <c r="BD48" i="27" s="1"/>
  <c r="BA48" i="27"/>
  <c r="AZ48" i="27"/>
  <c r="AY48" i="27"/>
  <c r="BP47" i="27"/>
  <c r="BO47" i="27"/>
  <c r="BN47" i="27"/>
  <c r="BM47" i="27"/>
  <c r="BL47" i="27"/>
  <c r="BB47" i="27"/>
  <c r="BD47" i="27" s="1"/>
  <c r="BA47" i="27"/>
  <c r="AZ47" i="27"/>
  <c r="AY47" i="27"/>
  <c r="BP46" i="27"/>
  <c r="BO46" i="27"/>
  <c r="BN46" i="27"/>
  <c r="BM46" i="27"/>
  <c r="BL46" i="27"/>
  <c r="BB46" i="27"/>
  <c r="BD46" i="27" s="1"/>
  <c r="BA46" i="27"/>
  <c r="AZ46" i="27"/>
  <c r="AY46" i="27"/>
  <c r="BP45" i="27"/>
  <c r="BO45" i="27"/>
  <c r="BN45" i="27"/>
  <c r="BM45" i="27"/>
  <c r="BL45" i="27"/>
  <c r="BB45" i="27"/>
  <c r="BD45" i="27" s="1"/>
  <c r="BA45" i="27"/>
  <c r="AZ45" i="27"/>
  <c r="AY45" i="27"/>
  <c r="BP44" i="27"/>
  <c r="BO44" i="27"/>
  <c r="BN44" i="27"/>
  <c r="BM44" i="27"/>
  <c r="BL44" i="27"/>
  <c r="BB44" i="27"/>
  <c r="BD44" i="27" s="1"/>
  <c r="BA44" i="27"/>
  <c r="AZ44" i="27"/>
  <c r="AY44" i="27"/>
  <c r="BP43" i="27"/>
  <c r="BO43" i="27"/>
  <c r="BN43" i="27"/>
  <c r="BM43" i="27"/>
  <c r="BL43" i="27"/>
  <c r="BB43" i="27"/>
  <c r="BD43" i="27" s="1"/>
  <c r="BA43" i="27"/>
  <c r="AZ43" i="27"/>
  <c r="AY43" i="27"/>
  <c r="BP42" i="27"/>
  <c r="BO42" i="27"/>
  <c r="BN42" i="27"/>
  <c r="BM42" i="27"/>
  <c r="BL42" i="27"/>
  <c r="BB42" i="27"/>
  <c r="BD42" i="27" s="1"/>
  <c r="BA42" i="27"/>
  <c r="AZ42" i="27"/>
  <c r="AY42" i="27"/>
  <c r="BP41" i="27"/>
  <c r="BO41" i="27"/>
  <c r="BN41" i="27"/>
  <c r="BM41" i="27"/>
  <c r="BL41" i="27"/>
  <c r="BB41" i="27"/>
  <c r="BD41" i="27" s="1"/>
  <c r="BA41" i="27"/>
  <c r="AZ41" i="27"/>
  <c r="AY41" i="27"/>
  <c r="BP40" i="27"/>
  <c r="BO40" i="27"/>
  <c r="BN40" i="27"/>
  <c r="BM40" i="27"/>
  <c r="BL40" i="27"/>
  <c r="BB40" i="27"/>
  <c r="BD40" i="27" s="1"/>
  <c r="BA40" i="27"/>
  <c r="AZ40" i="27"/>
  <c r="AY40" i="27"/>
  <c r="BP39" i="27"/>
  <c r="BO39" i="27"/>
  <c r="BN39" i="27"/>
  <c r="BM39" i="27"/>
  <c r="BL39" i="27"/>
  <c r="BB39" i="27"/>
  <c r="BD39" i="27" s="1"/>
  <c r="BA39" i="27"/>
  <c r="AZ39" i="27"/>
  <c r="AY39" i="27"/>
  <c r="BP38" i="27"/>
  <c r="BO38" i="27"/>
  <c r="BN38" i="27"/>
  <c r="BM38" i="27"/>
  <c r="BL38" i="27"/>
  <c r="BB38" i="27"/>
  <c r="BD38" i="27" s="1"/>
  <c r="BA38" i="27"/>
  <c r="AZ38" i="27"/>
  <c r="AY38" i="27"/>
  <c r="BP37" i="27"/>
  <c r="BO37" i="27"/>
  <c r="BN37" i="27"/>
  <c r="BM37" i="27"/>
  <c r="BL37" i="27"/>
  <c r="BB37" i="27"/>
  <c r="BD37" i="27" s="1"/>
  <c r="BA37" i="27"/>
  <c r="AZ37" i="27"/>
  <c r="AY37" i="27"/>
  <c r="BP36" i="27"/>
  <c r="BO36" i="27"/>
  <c r="BN36" i="27"/>
  <c r="BM36" i="27"/>
  <c r="BL36" i="27"/>
  <c r="BB36" i="27"/>
  <c r="BD36" i="27" s="1"/>
  <c r="BA36" i="27"/>
  <c r="AZ36" i="27"/>
  <c r="AY36" i="27"/>
  <c r="AB36" i="27"/>
  <c r="AB37" i="27" s="1"/>
  <c r="AB38" i="27" s="1"/>
  <c r="AB39" i="27" s="1"/>
  <c r="AB40" i="27" s="1"/>
  <c r="AB41" i="27" s="1"/>
  <c r="AB42" i="27" s="1"/>
  <c r="AB45" i="27" s="1"/>
  <c r="AB46" i="27" s="1"/>
  <c r="AB47" i="27" s="1"/>
  <c r="AB48" i="27" s="1"/>
  <c r="AB49" i="27" s="1"/>
  <c r="AB50" i="27" s="1"/>
  <c r="AB51" i="27" s="1"/>
  <c r="AB52" i="27" s="1"/>
  <c r="AB53" i="27" s="1"/>
  <c r="AB54" i="27" s="1"/>
  <c r="AB55" i="27" s="1"/>
  <c r="AB56" i="27" s="1"/>
  <c r="AB57" i="27" s="1"/>
  <c r="AB58" i="27" s="1"/>
  <c r="AB59" i="27" s="1"/>
  <c r="AB60" i="27" s="1"/>
  <c r="BP35" i="27"/>
  <c r="BO35" i="27"/>
  <c r="BN35" i="27"/>
  <c r="BM35" i="27"/>
  <c r="BL35" i="27"/>
  <c r="BB35" i="27"/>
  <c r="BD35" i="27" s="1"/>
  <c r="BA35" i="27"/>
  <c r="AZ35" i="27"/>
  <c r="AY35" i="27"/>
  <c r="BP34" i="27"/>
  <c r="BO34" i="27"/>
  <c r="BN34" i="27"/>
  <c r="BM34" i="27"/>
  <c r="BL34" i="27"/>
  <c r="BB34" i="27"/>
  <c r="BD34" i="27" s="1"/>
  <c r="BA34" i="27"/>
  <c r="AZ34" i="27"/>
  <c r="AY34" i="27"/>
  <c r="BP33" i="27"/>
  <c r="BO33" i="27"/>
  <c r="BN33" i="27"/>
  <c r="BM33" i="27"/>
  <c r="BL33" i="27"/>
  <c r="BB33" i="27"/>
  <c r="BD33" i="27" s="1"/>
  <c r="BA33" i="27"/>
  <c r="AZ33" i="27"/>
  <c r="AY33" i="27"/>
  <c r="BP32" i="27"/>
  <c r="BO32" i="27"/>
  <c r="BN32" i="27"/>
  <c r="BM32" i="27"/>
  <c r="BL32" i="27"/>
  <c r="BB32" i="27"/>
  <c r="BD32" i="27" s="1"/>
  <c r="BA32" i="27"/>
  <c r="AZ32" i="27"/>
  <c r="AY32" i="27"/>
  <c r="BP31" i="27"/>
  <c r="BO31" i="27"/>
  <c r="BN31" i="27"/>
  <c r="BM31" i="27"/>
  <c r="BL31" i="27"/>
  <c r="BB31" i="27"/>
  <c r="BD31" i="27" s="1"/>
  <c r="BA31" i="27"/>
  <c r="AZ31" i="27"/>
  <c r="AY31" i="27"/>
  <c r="AP31" i="27"/>
  <c r="AP32" i="27" s="1"/>
  <c r="AP33" i="27" s="1"/>
  <c r="AP34" i="27" s="1"/>
  <c r="AP35" i="27" s="1"/>
  <c r="AP36" i="27" s="1"/>
  <c r="AP37" i="27" s="1"/>
  <c r="AP38" i="27" s="1"/>
  <c r="AP39" i="27" s="1"/>
  <c r="AP40" i="27" s="1"/>
  <c r="AP41" i="27" s="1"/>
  <c r="AP42" i="27" s="1"/>
  <c r="AP43" i="27" s="1"/>
  <c r="AP44" i="27" s="1"/>
  <c r="AP45" i="27" s="1"/>
  <c r="AP46" i="27" s="1"/>
  <c r="AP47" i="27" s="1"/>
  <c r="AP48" i="27" s="1"/>
  <c r="AP49" i="27" s="1"/>
  <c r="AP50" i="27" s="1"/>
  <c r="AP51" i="27" s="1"/>
  <c r="AP52" i="27" s="1"/>
  <c r="AP53" i="27" s="1"/>
  <c r="AP54" i="27" s="1"/>
  <c r="AP55" i="27" s="1"/>
  <c r="AP56" i="27" s="1"/>
  <c r="AP57" i="27" s="1"/>
  <c r="AP58" i="27" s="1"/>
  <c r="AP59" i="27" s="1"/>
  <c r="AP60" i="27" s="1"/>
  <c r="AP61" i="27" s="1"/>
  <c r="AP62" i="27" s="1"/>
  <c r="AP63" i="27" s="1"/>
  <c r="AB31" i="27"/>
  <c r="AB32" i="27" s="1"/>
  <c r="AB33" i="27" s="1"/>
  <c r="AB34" i="27" s="1"/>
  <c r="BP30" i="27"/>
  <c r="BO30" i="27"/>
  <c r="BN30" i="27"/>
  <c r="BM30" i="27"/>
  <c r="BL30" i="27"/>
  <c r="BB30" i="27"/>
  <c r="BD30" i="27" s="1"/>
  <c r="BA30" i="27"/>
  <c r="AZ30" i="27"/>
  <c r="AY30" i="27"/>
  <c r="BP28" i="27"/>
  <c r="BO28" i="27"/>
  <c r="BN28" i="27"/>
  <c r="BM28" i="27"/>
  <c r="BL28" i="27"/>
  <c r="BP27" i="27"/>
  <c r="BO27" i="27"/>
  <c r="BN27" i="27"/>
  <c r="BM27" i="27"/>
  <c r="BL27" i="27"/>
  <c r="Z25" i="27"/>
  <c r="J25" i="27"/>
  <c r="AC24" i="27"/>
  <c r="F42" i="27" s="1"/>
  <c r="G24" i="27"/>
  <c r="F27" i="27" s="1"/>
  <c r="D23" i="27"/>
  <c r="D21" i="27"/>
  <c r="C440" i="24" l="1"/>
  <c r="F440" i="24" s="1"/>
  <c r="C407" i="24"/>
  <c r="F407" i="24" s="1"/>
  <c r="C363" i="24"/>
  <c r="F363" i="24" s="1"/>
  <c r="C418" i="24"/>
  <c r="F418" i="24" s="1"/>
  <c r="BC56" i="27"/>
  <c r="BC47" i="27"/>
  <c r="BC44" i="27"/>
  <c r="BC45" i="27"/>
  <c r="BC48" i="27"/>
  <c r="BC55" i="27"/>
  <c r="BQ50" i="27"/>
  <c r="BC53" i="27"/>
  <c r="BC57" i="27"/>
  <c r="BC61" i="27"/>
  <c r="BC59" i="27"/>
  <c r="BC63" i="27"/>
  <c r="BC49" i="27"/>
  <c r="BC52" i="27"/>
  <c r="BC31" i="27"/>
  <c r="BC43" i="27"/>
  <c r="BC41" i="27"/>
  <c r="BQ48" i="27"/>
  <c r="BC50" i="27"/>
  <c r="BQ57" i="27"/>
  <c r="BC60" i="27"/>
  <c r="BQ61" i="27"/>
  <c r="BQ46" i="27"/>
  <c r="BQ54" i="27"/>
  <c r="AO54" i="27" s="1"/>
  <c r="BC38" i="27"/>
  <c r="BQ44" i="27"/>
  <c r="BC46" i="27"/>
  <c r="BQ52" i="27"/>
  <c r="BC54" i="27"/>
  <c r="BC58" i="27"/>
  <c r="BQ59" i="27"/>
  <c r="BC62" i="27"/>
  <c r="BQ36" i="27"/>
  <c r="BQ35" i="27"/>
  <c r="BC34" i="27"/>
  <c r="BQ31" i="27"/>
  <c r="BQ30" i="27"/>
  <c r="AR30" i="27" s="1"/>
  <c r="BQ32" i="27"/>
  <c r="BC35" i="27"/>
  <c r="BC36" i="27"/>
  <c r="BQ38" i="27"/>
  <c r="BQ40" i="27"/>
  <c r="BC42" i="27"/>
  <c r="BQ42" i="27"/>
  <c r="AO42" i="27" s="1"/>
  <c r="BQ34" i="27"/>
  <c r="BQ43" i="27"/>
  <c r="BQ45" i="27"/>
  <c r="AR45" i="27" s="1"/>
  <c r="BQ47" i="27"/>
  <c r="AO47" i="27" s="1"/>
  <c r="BQ49" i="27"/>
  <c r="AO49" i="27" s="1"/>
  <c r="BQ51" i="27"/>
  <c r="BQ53" i="27"/>
  <c r="AO53" i="27" s="1"/>
  <c r="BQ55" i="27"/>
  <c r="BQ58" i="27"/>
  <c r="AO58" i="27" s="1"/>
  <c r="BQ60" i="27"/>
  <c r="BQ62" i="27"/>
  <c r="AO62" i="27" s="1"/>
  <c r="BC30" i="27"/>
  <c r="BC32" i="27"/>
  <c r="BC33" i="27"/>
  <c r="BQ33" i="27"/>
  <c r="BC37" i="27"/>
  <c r="BC39" i="27"/>
  <c r="BQ39" i="27"/>
  <c r="BQ56" i="27"/>
  <c r="BQ63" i="27"/>
  <c r="AO63" i="27" s="1"/>
  <c r="N41" i="27"/>
  <c r="E40" i="27"/>
  <c r="I41" i="27"/>
  <c r="B40" i="27"/>
  <c r="AT40" i="27" s="1"/>
  <c r="B39" i="27"/>
  <c r="AT39" i="27" s="1"/>
  <c r="E35" i="27"/>
  <c r="E38" i="27"/>
  <c r="E37" i="27"/>
  <c r="E36" i="27"/>
  <c r="B35" i="27"/>
  <c r="AT35" i="27" s="1"/>
  <c r="E34" i="27"/>
  <c r="E39" i="27"/>
  <c r="B38" i="27"/>
  <c r="AT38" i="27" s="1"/>
  <c r="B37" i="27"/>
  <c r="AT37" i="27" s="1"/>
  <c r="B36" i="27"/>
  <c r="AT36" i="27" s="1"/>
  <c r="B34" i="27"/>
  <c r="AT34" i="27" s="1"/>
  <c r="E33" i="27"/>
  <c r="E32" i="27"/>
  <c r="E31" i="27"/>
  <c r="B33" i="27"/>
  <c r="AT33" i="27" s="1"/>
  <c r="B32" i="27"/>
  <c r="AT32" i="27" s="1"/>
  <c r="B31" i="27"/>
  <c r="AT31" i="27" s="1"/>
  <c r="I57" i="27"/>
  <c r="B56" i="27"/>
  <c r="AT56" i="27" s="1"/>
  <c r="B55" i="27"/>
  <c r="AT55" i="27" s="1"/>
  <c r="B54" i="27"/>
  <c r="AT54" i="27" s="1"/>
  <c r="B53" i="27"/>
  <c r="AT53" i="27" s="1"/>
  <c r="B52" i="27"/>
  <c r="AT52" i="27" s="1"/>
  <c r="B51" i="27"/>
  <c r="AT51" i="27" s="1"/>
  <c r="B50" i="27"/>
  <c r="AT50" i="27" s="1"/>
  <c r="B49" i="27"/>
  <c r="AT49" i="27" s="1"/>
  <c r="B48" i="27"/>
  <c r="AT48" i="27" s="1"/>
  <c r="B47" i="27"/>
  <c r="AT47" i="27" s="1"/>
  <c r="N57" i="27"/>
  <c r="E56" i="27"/>
  <c r="E55" i="27"/>
  <c r="E54" i="27"/>
  <c r="E53" i="27"/>
  <c r="E52" i="27"/>
  <c r="E51" i="27"/>
  <c r="E50" i="27"/>
  <c r="E49" i="27"/>
  <c r="E48" i="27"/>
  <c r="E47" i="27"/>
  <c r="AB62" i="27"/>
  <c r="AB63" i="27" s="1"/>
  <c r="AB61" i="27"/>
  <c r="AR42" i="27"/>
  <c r="BQ37" i="27"/>
  <c r="AR44" i="27"/>
  <c r="AO44" i="27"/>
  <c r="AO48" i="27"/>
  <c r="AR48" i="27"/>
  <c r="AO50" i="27"/>
  <c r="AR50" i="27"/>
  <c r="AO52" i="27"/>
  <c r="AR52" i="27"/>
  <c r="AO57" i="27"/>
  <c r="AR57" i="27"/>
  <c r="AO61" i="27"/>
  <c r="AR61" i="27"/>
  <c r="BC40" i="27"/>
  <c r="AR40" i="27"/>
  <c r="AO40" i="27"/>
  <c r="BQ41" i="27"/>
  <c r="AR43" i="27"/>
  <c r="AO43" i="27"/>
  <c r="AR49" i="27"/>
  <c r="AO51" i="27"/>
  <c r="AR51" i="27"/>
  <c r="AO55" i="27"/>
  <c r="AR55" i="27"/>
  <c r="AO60" i="27"/>
  <c r="AR60" i="27"/>
  <c r="A57" i="24"/>
  <c r="C57" i="24" s="1"/>
  <c r="BL14" i="1"/>
  <c r="BM14" i="1"/>
  <c r="BN14" i="1"/>
  <c r="BO14" i="1"/>
  <c r="BP14" i="1"/>
  <c r="BL15" i="1"/>
  <c r="BM15" i="1"/>
  <c r="BN15" i="1"/>
  <c r="BO15" i="1"/>
  <c r="BP15" i="1"/>
  <c r="BL16" i="1"/>
  <c r="BM16" i="1"/>
  <c r="BN16" i="1"/>
  <c r="BO16" i="1"/>
  <c r="BP16" i="1"/>
  <c r="BL17" i="1"/>
  <c r="BM17" i="1"/>
  <c r="BN17" i="1"/>
  <c r="BO17" i="1"/>
  <c r="BP17" i="1"/>
  <c r="BL18" i="1"/>
  <c r="BM18" i="1"/>
  <c r="BN18" i="1"/>
  <c r="BO18" i="1"/>
  <c r="BP18" i="1"/>
  <c r="BL19" i="1"/>
  <c r="BM19" i="1"/>
  <c r="BN19" i="1"/>
  <c r="BO19" i="1"/>
  <c r="BP19" i="1"/>
  <c r="BL20" i="1"/>
  <c r="BM20" i="1"/>
  <c r="BN20" i="1"/>
  <c r="BO20" i="1"/>
  <c r="BP20" i="1"/>
  <c r="BL21" i="1"/>
  <c r="BM21" i="1"/>
  <c r="BN21" i="1"/>
  <c r="BO21" i="1"/>
  <c r="BP21" i="1"/>
  <c r="BL22" i="1"/>
  <c r="BM22" i="1"/>
  <c r="BN22" i="1"/>
  <c r="BO22" i="1"/>
  <c r="BP22" i="1"/>
  <c r="BL23" i="1"/>
  <c r="BM23" i="1"/>
  <c r="BN23" i="1"/>
  <c r="BO23" i="1"/>
  <c r="BP23" i="1"/>
  <c r="BL24" i="1"/>
  <c r="BM24" i="1"/>
  <c r="BN24" i="1"/>
  <c r="BO24" i="1"/>
  <c r="BP24" i="1"/>
  <c r="BL25" i="1"/>
  <c r="BM25" i="1"/>
  <c r="BN25" i="1"/>
  <c r="BO25" i="1"/>
  <c r="BP25" i="1"/>
  <c r="BL26" i="1"/>
  <c r="BM26" i="1"/>
  <c r="BN26" i="1"/>
  <c r="BO26" i="1"/>
  <c r="BP26" i="1"/>
  <c r="BL27" i="1"/>
  <c r="BM27" i="1"/>
  <c r="BN27" i="1"/>
  <c r="BO27" i="1"/>
  <c r="BP27" i="1"/>
  <c r="BL28" i="1"/>
  <c r="BM28" i="1"/>
  <c r="BN28" i="1"/>
  <c r="BO28" i="1"/>
  <c r="BP28" i="1"/>
  <c r="BL29" i="1"/>
  <c r="BM29" i="1"/>
  <c r="BN29" i="1"/>
  <c r="BO29" i="1"/>
  <c r="BP29" i="1"/>
  <c r="BL30" i="1"/>
  <c r="BM30" i="1"/>
  <c r="BN30" i="1"/>
  <c r="BO30" i="1"/>
  <c r="BP30" i="1"/>
  <c r="BL31" i="1"/>
  <c r="BM31" i="1"/>
  <c r="BN31" i="1"/>
  <c r="BO31" i="1"/>
  <c r="BP31" i="1"/>
  <c r="BL32" i="1"/>
  <c r="BM32" i="1"/>
  <c r="BN32" i="1"/>
  <c r="BO32" i="1"/>
  <c r="BP32" i="1"/>
  <c r="BL33" i="1"/>
  <c r="BM33" i="1"/>
  <c r="BN33" i="1"/>
  <c r="BO33" i="1"/>
  <c r="BP33" i="1"/>
  <c r="BL34" i="1"/>
  <c r="BM34" i="1"/>
  <c r="BN34" i="1"/>
  <c r="BO34" i="1"/>
  <c r="BP34" i="1"/>
  <c r="BL35" i="1"/>
  <c r="BM35" i="1"/>
  <c r="BN35" i="1"/>
  <c r="BO35" i="1"/>
  <c r="BP35" i="1"/>
  <c r="BL36" i="1"/>
  <c r="BM36" i="1"/>
  <c r="BN36" i="1"/>
  <c r="BO36" i="1"/>
  <c r="BP36" i="1"/>
  <c r="BL37" i="1"/>
  <c r="BM37" i="1"/>
  <c r="BN37" i="1"/>
  <c r="BO37" i="1"/>
  <c r="BP37" i="1"/>
  <c r="BL38" i="1"/>
  <c r="BM38" i="1"/>
  <c r="BN38" i="1"/>
  <c r="BO38" i="1"/>
  <c r="BP38" i="1"/>
  <c r="BL39" i="1"/>
  <c r="BM39" i="1"/>
  <c r="BN39" i="1"/>
  <c r="BO39" i="1"/>
  <c r="BP39" i="1"/>
  <c r="BL40" i="1"/>
  <c r="BM40" i="1"/>
  <c r="BN40" i="1"/>
  <c r="BO40" i="1"/>
  <c r="BP40" i="1"/>
  <c r="BL41" i="1"/>
  <c r="BM41" i="1"/>
  <c r="BN41" i="1"/>
  <c r="BO41" i="1"/>
  <c r="BP41" i="1"/>
  <c r="BL42" i="1"/>
  <c r="BM42" i="1"/>
  <c r="BN42" i="1"/>
  <c r="BO42" i="1"/>
  <c r="BP42" i="1"/>
  <c r="BL43" i="1"/>
  <c r="BM43" i="1"/>
  <c r="BN43" i="1"/>
  <c r="BO43" i="1"/>
  <c r="BP43" i="1"/>
  <c r="BL44" i="1"/>
  <c r="BM44" i="1"/>
  <c r="BN44" i="1"/>
  <c r="BO44" i="1"/>
  <c r="BP44" i="1"/>
  <c r="BL45" i="1"/>
  <c r="BM45" i="1"/>
  <c r="BN45" i="1"/>
  <c r="BO45" i="1"/>
  <c r="BP45" i="1"/>
  <c r="BL46" i="1"/>
  <c r="BM46" i="1"/>
  <c r="BN46" i="1"/>
  <c r="BO46" i="1"/>
  <c r="BP46" i="1"/>
  <c r="BP13" i="1"/>
  <c r="BO13" i="1"/>
  <c r="BN13" i="1"/>
  <c r="BL13" i="1"/>
  <c r="BM13" i="1"/>
  <c r="BP11" i="1"/>
  <c r="BP10" i="1"/>
  <c r="BO11" i="1"/>
  <c r="BO10" i="1"/>
  <c r="BN11" i="1"/>
  <c r="BN10" i="1"/>
  <c r="BM11" i="1"/>
  <c r="BM10" i="1"/>
  <c r="BL11" i="1"/>
  <c r="BL10" i="1"/>
  <c r="BQ21" i="1" l="1"/>
  <c r="BQ23" i="1"/>
  <c r="BQ20" i="1"/>
  <c r="AR63" i="27"/>
  <c r="AR58" i="27"/>
  <c r="AR47" i="27"/>
  <c r="AR54" i="27"/>
  <c r="BQ35" i="1"/>
  <c r="BQ27" i="1"/>
  <c r="AO27" i="1" s="1"/>
  <c r="BQ41" i="1"/>
  <c r="AO41" i="1" s="1"/>
  <c r="BQ40" i="1"/>
  <c r="AR40" i="1" s="1"/>
  <c r="BQ33" i="1"/>
  <c r="AO33" i="1" s="1"/>
  <c r="BQ32" i="1"/>
  <c r="AR32" i="1" s="1"/>
  <c r="AR20" i="1"/>
  <c r="AO20" i="1"/>
  <c r="AO56" i="27"/>
  <c r="AR56" i="27"/>
  <c r="AO59" i="27"/>
  <c r="AR59" i="27"/>
  <c r="AR46" i="27"/>
  <c r="AO46" i="27"/>
  <c r="BQ43" i="1"/>
  <c r="AR43" i="1" s="1"/>
  <c r="BQ39" i="1"/>
  <c r="AO39" i="1" s="1"/>
  <c r="BQ29" i="1"/>
  <c r="AO29" i="1" s="1"/>
  <c r="BQ26" i="1"/>
  <c r="AO26" i="1" s="1"/>
  <c r="AO45" i="27"/>
  <c r="AR53" i="27"/>
  <c r="BQ45" i="1"/>
  <c r="AO45" i="1" s="1"/>
  <c r="BQ37" i="1"/>
  <c r="AR37" i="1" s="1"/>
  <c r="BQ19" i="1"/>
  <c r="AO19" i="1" s="1"/>
  <c r="AR62" i="27"/>
  <c r="AR29" i="1"/>
  <c r="AR45" i="1"/>
  <c r="AO43" i="1"/>
  <c r="AO35" i="1"/>
  <c r="AR35" i="1"/>
  <c r="AR41" i="1"/>
  <c r="AO40" i="1"/>
  <c r="BQ44" i="1"/>
  <c r="BQ34" i="1"/>
  <c r="BQ28" i="1"/>
  <c r="BQ46" i="1"/>
  <c r="BQ42" i="1"/>
  <c r="BQ36" i="1"/>
  <c r="BQ31" i="1"/>
  <c r="BQ30" i="1"/>
  <c r="BQ18" i="1"/>
  <c r="BQ38" i="1"/>
  <c r="BQ25" i="1"/>
  <c r="AO23" i="1"/>
  <c r="AR23" i="1"/>
  <c r="AO21" i="1"/>
  <c r="AR21" i="1"/>
  <c r="BQ22" i="1"/>
  <c r="BQ24" i="1"/>
  <c r="AR31" i="27"/>
  <c r="AR32" i="27" s="1"/>
  <c r="AR33" i="27" s="1"/>
  <c r="AR34" i="27" s="1"/>
  <c r="AR35" i="27" s="1"/>
  <c r="AR36" i="27" s="1"/>
  <c r="AR37" i="27" s="1"/>
  <c r="AR38" i="27" s="1"/>
  <c r="AR39" i="27" s="1"/>
  <c r="AO30" i="27"/>
  <c r="AO31" i="27" s="1"/>
  <c r="AO32" i="27" s="1"/>
  <c r="AO33" i="27" s="1"/>
  <c r="AO34" i="27" s="1"/>
  <c r="AO35" i="27" s="1"/>
  <c r="AO36" i="27" s="1"/>
  <c r="AO37" i="27" s="1"/>
  <c r="AO38" i="27" s="1"/>
  <c r="AO39" i="27" s="1"/>
  <c r="AU50" i="27"/>
  <c r="V50" i="27"/>
  <c r="AU54" i="27"/>
  <c r="V54" i="27"/>
  <c r="AU31" i="27"/>
  <c r="V31" i="27"/>
  <c r="AU37" i="27"/>
  <c r="V37" i="27"/>
  <c r="AU35" i="27"/>
  <c r="V35" i="27"/>
  <c r="AU47" i="27"/>
  <c r="V47" i="27"/>
  <c r="AU51" i="27"/>
  <c r="V51" i="27"/>
  <c r="AU55" i="27"/>
  <c r="V55" i="27"/>
  <c r="AU32" i="27"/>
  <c r="V32" i="27"/>
  <c r="AU38" i="27"/>
  <c r="V38" i="27"/>
  <c r="AU39" i="27"/>
  <c r="V39" i="27"/>
  <c r="AR41" i="27"/>
  <c r="AO41" i="27"/>
  <c r="AU48" i="27"/>
  <c r="V48" i="27"/>
  <c r="AU52" i="27"/>
  <c r="V52" i="27"/>
  <c r="AU56" i="27"/>
  <c r="V56" i="27"/>
  <c r="V33" i="27"/>
  <c r="AU33" i="27"/>
  <c r="V34" i="27"/>
  <c r="AU34" i="27"/>
  <c r="AU40" i="27"/>
  <c r="V40" i="27"/>
  <c r="AU49" i="27"/>
  <c r="V49" i="27"/>
  <c r="AU53" i="27"/>
  <c r="V53" i="27"/>
  <c r="AU36" i="27"/>
  <c r="V36" i="27"/>
  <c r="BQ17" i="1"/>
  <c r="AO17" i="1" s="1"/>
  <c r="BQ16" i="1"/>
  <c r="BQ15" i="1"/>
  <c r="BQ14" i="1"/>
  <c r="BQ13" i="1"/>
  <c r="AR19" i="1" l="1"/>
  <c r="AR39" i="1"/>
  <c r="AO32" i="1"/>
  <c r="AO37" i="1"/>
  <c r="AR27" i="1"/>
  <c r="AR26" i="1"/>
  <c r="AS69" i="27"/>
  <c r="AR33" i="1"/>
  <c r="AR24" i="1"/>
  <c r="AO24" i="1"/>
  <c r="AO18" i="1"/>
  <c r="AR18" i="1"/>
  <c r="AO42" i="1"/>
  <c r="AR42" i="1"/>
  <c r="AO34" i="1"/>
  <c r="AR34" i="1"/>
  <c r="AO30" i="1"/>
  <c r="AR30" i="1"/>
  <c r="AO46" i="1"/>
  <c r="AR46" i="1"/>
  <c r="AR44" i="1"/>
  <c r="AO44" i="1"/>
  <c r="AO22" i="1"/>
  <c r="AR22" i="1"/>
  <c r="AO25" i="1"/>
  <c r="AR25" i="1"/>
  <c r="AO31" i="1"/>
  <c r="AR31" i="1"/>
  <c r="AO38" i="1"/>
  <c r="AR38" i="1"/>
  <c r="AR36" i="1"/>
  <c r="AO36" i="1"/>
  <c r="AR28" i="1"/>
  <c r="AO28" i="1"/>
  <c r="AO69" i="27"/>
  <c r="AR69" i="27"/>
  <c r="X53" i="27"/>
  <c r="W53" i="27"/>
  <c r="Y53" i="27"/>
  <c r="Y40" i="27"/>
  <c r="X40" i="27"/>
  <c r="W40" i="27"/>
  <c r="X52" i="27"/>
  <c r="W52" i="27"/>
  <c r="Y52" i="27"/>
  <c r="X39" i="27"/>
  <c r="W39" i="27"/>
  <c r="Y39" i="27"/>
  <c r="W32" i="27"/>
  <c r="Y32" i="27"/>
  <c r="X32" i="27"/>
  <c r="X51" i="27"/>
  <c r="W51" i="27"/>
  <c r="Y51" i="27"/>
  <c r="W37" i="27"/>
  <c r="Y37" i="27"/>
  <c r="X37" i="27"/>
  <c r="X54" i="27"/>
  <c r="W54" i="27"/>
  <c r="Y54" i="27"/>
  <c r="X33" i="27"/>
  <c r="W33" i="27"/>
  <c r="Y33" i="27"/>
  <c r="W34" i="27"/>
  <c r="Y34" i="27"/>
  <c r="X34" i="27"/>
  <c r="W36" i="27"/>
  <c r="Y36" i="27"/>
  <c r="X36" i="27"/>
  <c r="X49" i="27"/>
  <c r="W49" i="27"/>
  <c r="Y49" i="27"/>
  <c r="X56" i="27"/>
  <c r="W56" i="27"/>
  <c r="Y56" i="27"/>
  <c r="X48" i="27"/>
  <c r="W48" i="27"/>
  <c r="Y48" i="27"/>
  <c r="W38" i="27"/>
  <c r="Y38" i="27"/>
  <c r="X38" i="27"/>
  <c r="X55" i="27"/>
  <c r="W55" i="27"/>
  <c r="Y55" i="27"/>
  <c r="X47" i="27"/>
  <c r="W47" i="27"/>
  <c r="Y47" i="27"/>
  <c r="Y35" i="27"/>
  <c r="X35" i="27"/>
  <c r="W35" i="27"/>
  <c r="W31" i="27"/>
  <c r="Y31" i="27"/>
  <c r="X31" i="27"/>
  <c r="X50" i="27"/>
  <c r="W50" i="27"/>
  <c r="Y50" i="27"/>
  <c r="AR13" i="1"/>
  <c r="AO13" i="1"/>
  <c r="AR17" i="1"/>
  <c r="AO14" i="1"/>
  <c r="AO15" i="1" s="1"/>
  <c r="AO16" i="1" s="1"/>
  <c r="I64" i="27" l="1"/>
  <c r="BE69" i="27"/>
  <c r="V64" i="27" s="1"/>
  <c r="G64" i="27"/>
  <c r="AO52" i="1"/>
  <c r="AR14" i="1"/>
  <c r="AR15" i="1" s="1"/>
  <c r="AR16" i="1" s="1"/>
  <c r="C24" i="26"/>
  <c r="C25" i="26"/>
  <c r="C26" i="26"/>
  <c r="C27" i="26"/>
  <c r="C28" i="26"/>
  <c r="C29" i="26"/>
  <c r="C23" i="26"/>
  <c r="G23" i="26"/>
  <c r="J23" i="26"/>
  <c r="AR52" i="1" l="1"/>
  <c r="L6" i="22" s="1"/>
  <c r="G2" i="26" l="1"/>
  <c r="M4" i="26"/>
  <c r="W10" i="26"/>
  <c r="X9" i="26"/>
  <c r="X30" i="26" s="1"/>
  <c r="AS52" i="1"/>
  <c r="J6" i="22" s="1"/>
  <c r="D5" i="26" l="1" a="1"/>
  <c r="D5" i="26" s="1"/>
  <c r="I6" i="26" a="1"/>
  <c r="I6" i="26" s="1"/>
  <c r="K7" i="26" a="1"/>
  <c r="K7" i="26" s="1"/>
  <c r="B9" i="26" a="1"/>
  <c r="B9" i="26" s="1"/>
  <c r="J6" i="26" a="1"/>
  <c r="J6" i="26" s="1"/>
  <c r="B10" i="26" a="1"/>
  <c r="B10" i="26" s="1"/>
  <c r="B4" i="26" a="1"/>
  <c r="B4" i="26" s="1"/>
  <c r="K6" i="26" a="1"/>
  <c r="K6" i="26" s="1"/>
  <c r="C4" i="26" a="1"/>
  <c r="C4" i="26" s="1"/>
  <c r="D4" i="26" a="1"/>
  <c r="D4" i="26" s="1"/>
  <c r="I5" i="26" a="1"/>
  <c r="I5" i="26" s="1"/>
  <c r="J5" i="26" a="1"/>
  <c r="J5" i="26" s="1"/>
  <c r="B7" i="26" a="1"/>
  <c r="B7" i="26" s="1"/>
  <c r="C9" i="26" a="1"/>
  <c r="C9" i="26" s="1"/>
  <c r="C10" i="26" a="1"/>
  <c r="C10" i="26" s="1"/>
  <c r="D7" i="26" a="1"/>
  <c r="D7" i="26" s="1"/>
  <c r="I8" i="26" a="1"/>
  <c r="I8" i="26" s="1"/>
  <c r="K5" i="26" a="1"/>
  <c r="K5" i="26" s="1"/>
  <c r="C8" i="26" a="1"/>
  <c r="C8" i="26" s="1"/>
  <c r="D9" i="26" a="1"/>
  <c r="D9" i="26" s="1"/>
  <c r="K2" i="26" a="1"/>
  <c r="K2" i="26" s="1"/>
  <c r="I9" i="26" a="1"/>
  <c r="I9" i="26" s="1"/>
  <c r="D6" i="26" a="1"/>
  <c r="D6" i="26" s="1"/>
  <c r="B8" i="26" a="1"/>
  <c r="B8" i="26" s="1"/>
  <c r="B3" i="26" a="1"/>
  <c r="B3" i="26" s="1"/>
  <c r="C7" i="26" a="1"/>
  <c r="C7" i="26" s="1"/>
  <c r="D10" i="26" a="1"/>
  <c r="D10" i="26" s="1"/>
  <c r="J2" i="26" a="1"/>
  <c r="J2" i="26" s="1"/>
  <c r="C6" i="26" a="1"/>
  <c r="C6" i="26" s="1"/>
  <c r="I10" i="26" a="1"/>
  <c r="I10" i="26" s="1"/>
  <c r="J9" i="26" a="1"/>
  <c r="J9" i="26" s="1"/>
  <c r="C3" i="26" a="1"/>
  <c r="C3" i="26" s="1"/>
  <c r="I4" i="26" a="1"/>
  <c r="I4" i="26" s="1"/>
  <c r="D8" i="26" a="1"/>
  <c r="D8" i="26" s="1"/>
  <c r="I2" i="26" a="1"/>
  <c r="I2" i="26" s="1"/>
  <c r="B6" i="26" a="1"/>
  <c r="B6" i="26" s="1"/>
  <c r="D3" i="26" a="1"/>
  <c r="D3" i="26" s="1"/>
  <c r="J4" i="26" a="1"/>
  <c r="J4" i="26" s="1"/>
  <c r="D2" i="26" a="1"/>
  <c r="D2" i="26" s="1"/>
  <c r="C2" i="26" a="1"/>
  <c r="C2" i="26" s="1"/>
  <c r="K4" i="26" a="1"/>
  <c r="K4" i="26" s="1"/>
  <c r="F2" i="26"/>
  <c r="I3" i="26" a="1"/>
  <c r="I3" i="26" s="1"/>
  <c r="N4" i="26"/>
  <c r="J3" i="26" a="1"/>
  <c r="J3" i="26" s="1"/>
  <c r="B5" i="26" a="1"/>
  <c r="B5" i="26" s="1"/>
  <c r="J8" i="26" a="1"/>
  <c r="J8" i="26" s="1"/>
  <c r="J10" i="26" a="1"/>
  <c r="J10" i="26" s="1"/>
  <c r="B2" i="26" a="1"/>
  <c r="B2" i="26" s="1"/>
  <c r="K3" i="26" a="1"/>
  <c r="K3" i="26" s="1"/>
  <c r="C5" i="26" a="1"/>
  <c r="C5" i="26" s="1"/>
  <c r="I7" i="26" a="1"/>
  <c r="I7" i="26" s="1"/>
  <c r="K9" i="26" a="1"/>
  <c r="K9" i="26" s="1"/>
  <c r="K8" i="26" a="1"/>
  <c r="K8" i="26" s="1"/>
  <c r="K10" i="26" a="1"/>
  <c r="K10" i="26" s="1"/>
  <c r="J7" i="26" a="1"/>
  <c r="J7" i="26" s="1"/>
  <c r="X10" i="26"/>
  <c r="X31" i="26" s="1"/>
  <c r="W9" i="26"/>
  <c r="W31" i="26"/>
  <c r="BE52" i="1"/>
  <c r="D6" i="1"/>
  <c r="D3" i="1"/>
  <c r="L5" i="26" l="1"/>
  <c r="E5" i="26"/>
  <c r="E7" i="26"/>
  <c r="E3" i="26"/>
  <c r="E8" i="26"/>
  <c r="L4" i="26"/>
  <c r="L10" i="26"/>
  <c r="L3" i="26"/>
  <c r="E4" i="26"/>
  <c r="L9" i="26"/>
  <c r="E10" i="26"/>
  <c r="L7" i="26"/>
  <c r="E6" i="26"/>
  <c r="E9" i="26"/>
  <c r="L6" i="26"/>
  <c r="L8" i="26"/>
  <c r="Y10" i="26"/>
  <c r="Y31" i="26" s="1"/>
  <c r="W30" i="26"/>
  <c r="Y9" i="26"/>
  <c r="Y30" i="26" s="1"/>
  <c r="T9" i="26"/>
  <c r="T30" i="26" s="1"/>
  <c r="U10" i="26"/>
  <c r="U31" i="26" s="1"/>
  <c r="T10" i="26"/>
  <c r="T31" i="26" s="1"/>
  <c r="S9" i="26"/>
  <c r="U9" i="26"/>
  <c r="U30" i="26" s="1"/>
  <c r="S10" i="26"/>
  <c r="I47" i="1"/>
  <c r="G47" i="1"/>
  <c r="V47" i="1"/>
  <c r="A8" i="26"/>
  <c r="A7" i="26"/>
  <c r="A6" i="26"/>
  <c r="A5" i="26"/>
  <c r="A4" i="26"/>
  <c r="A3" i="26"/>
  <c r="A2" i="26"/>
  <c r="Q3" i="26" l="1"/>
  <c r="Q24" i="26" s="1"/>
  <c r="V10" i="26"/>
  <c r="V31" i="26" s="1"/>
  <c r="V9" i="26"/>
  <c r="V30" i="26" s="1"/>
  <c r="R10" i="26"/>
  <c r="R31" i="26" s="1"/>
  <c r="S31" i="26"/>
  <c r="R9" i="26"/>
  <c r="R30" i="26" s="1"/>
  <c r="S30" i="26"/>
  <c r="A27" i="26"/>
  <c r="A26" i="26"/>
  <c r="A23" i="26"/>
  <c r="A24" i="26"/>
  <c r="A28" i="26"/>
  <c r="Q4" i="26"/>
  <c r="Q25" i="26" s="1"/>
  <c r="A25" i="26"/>
  <c r="Q8" i="26"/>
  <c r="Q29" i="26" s="1"/>
  <c r="A29" i="26"/>
  <c r="Q7" i="26"/>
  <c r="Q28" i="26" s="1"/>
  <c r="Q6" i="26"/>
  <c r="Q27" i="26" s="1"/>
  <c r="Q2" i="26"/>
  <c r="Q23" i="26" s="1"/>
  <c r="Q5" i="26"/>
  <c r="Q26" i="26" s="1"/>
  <c r="J68" i="24"/>
  <c r="J57" i="24"/>
  <c r="J46" i="24"/>
  <c r="J35" i="24"/>
  <c r="J24" i="24"/>
  <c r="J13" i="24"/>
  <c r="J2" i="24"/>
  <c r="F12" i="24"/>
  <c r="G12" i="24"/>
  <c r="F23" i="24"/>
  <c r="G23" i="24"/>
  <c r="F34" i="24"/>
  <c r="G34" i="24"/>
  <c r="F45" i="24"/>
  <c r="G45" i="24"/>
  <c r="F56" i="24"/>
  <c r="G56" i="24"/>
  <c r="F67" i="24"/>
  <c r="G67" i="24"/>
  <c r="F78" i="24"/>
  <c r="G78" i="24"/>
  <c r="F89" i="24"/>
  <c r="G89" i="24"/>
  <c r="F100" i="24"/>
  <c r="G100" i="24"/>
  <c r="F111" i="24"/>
  <c r="G111" i="24"/>
  <c r="F122" i="24"/>
  <c r="G122" i="24"/>
  <c r="F133" i="24"/>
  <c r="G133" i="24"/>
  <c r="F144" i="24"/>
  <c r="G144" i="24"/>
  <c r="F155" i="24"/>
  <c r="G155" i="24"/>
  <c r="F166" i="24"/>
  <c r="G166" i="24"/>
  <c r="F177" i="24"/>
  <c r="G177" i="24"/>
  <c r="F188" i="24"/>
  <c r="G188" i="24"/>
  <c r="F199" i="24"/>
  <c r="G199" i="24"/>
  <c r="F210" i="24"/>
  <c r="G210" i="24"/>
  <c r="F221" i="24"/>
  <c r="G221" i="24"/>
  <c r="F232" i="24"/>
  <c r="G232" i="24"/>
  <c r="F243" i="24"/>
  <c r="G243" i="24"/>
  <c r="F254" i="24"/>
  <c r="G254" i="24"/>
  <c r="F265" i="24"/>
  <c r="G265" i="24"/>
  <c r="F276" i="24"/>
  <c r="G276" i="24"/>
  <c r="F287" i="24"/>
  <c r="G287" i="24"/>
  <c r="F298" i="24"/>
  <c r="G298" i="24"/>
  <c r="F309" i="24"/>
  <c r="G309" i="24"/>
  <c r="F320" i="24"/>
  <c r="G320" i="24"/>
  <c r="A321" i="24"/>
  <c r="A310" i="24"/>
  <c r="C310" i="24" s="1"/>
  <c r="A299" i="24"/>
  <c r="A288" i="24"/>
  <c r="C288" i="24" s="1"/>
  <c r="A277" i="24"/>
  <c r="C277" i="24" s="1"/>
  <c r="A266" i="24"/>
  <c r="A255" i="24"/>
  <c r="C255" i="24" s="1"/>
  <c r="A244" i="24"/>
  <c r="C244" i="24" s="1"/>
  <c r="A233" i="24"/>
  <c r="C233" i="24" s="1"/>
  <c r="A222" i="24"/>
  <c r="C222" i="24" s="1"/>
  <c r="A211" i="24"/>
  <c r="C211" i="24" s="1"/>
  <c r="A200" i="24"/>
  <c r="C200" i="24" s="1"/>
  <c r="A189" i="24"/>
  <c r="A178" i="24"/>
  <c r="C178" i="24" s="1"/>
  <c r="A167" i="24"/>
  <c r="A156" i="24"/>
  <c r="C156" i="24" s="1"/>
  <c r="A145" i="24"/>
  <c r="C145" i="24" s="1"/>
  <c r="A134" i="24"/>
  <c r="A123" i="24"/>
  <c r="C123" i="24" s="1"/>
  <c r="A112" i="24"/>
  <c r="A101" i="24"/>
  <c r="A90" i="24"/>
  <c r="A79" i="24"/>
  <c r="C79" i="24" s="1"/>
  <c r="A68" i="24"/>
  <c r="A46" i="24"/>
  <c r="C46" i="24" s="1"/>
  <c r="A36" i="24"/>
  <c r="C36" i="24" s="1"/>
  <c r="A37" i="24"/>
  <c r="C37" i="24" s="1"/>
  <c r="A38" i="24"/>
  <c r="C38" i="24" s="1"/>
  <c r="A39" i="24"/>
  <c r="C39" i="24" s="1"/>
  <c r="A40" i="24"/>
  <c r="C40" i="24" s="1"/>
  <c r="A41" i="24"/>
  <c r="C41" i="24" s="1"/>
  <c r="A42" i="24"/>
  <c r="C42" i="24" s="1"/>
  <c r="A43" i="24"/>
  <c r="C43" i="24" s="1"/>
  <c r="A44" i="24"/>
  <c r="C44" i="24" s="1"/>
  <c r="A35" i="24"/>
  <c r="C35" i="24" s="1"/>
  <c r="A25" i="24"/>
  <c r="C25" i="24" s="1"/>
  <c r="A26" i="24"/>
  <c r="C26" i="24" s="1"/>
  <c r="A27" i="24"/>
  <c r="C27" i="24" s="1"/>
  <c r="A28" i="24"/>
  <c r="C28" i="24" s="1"/>
  <c r="A29" i="24"/>
  <c r="C29" i="24" s="1"/>
  <c r="A30" i="24"/>
  <c r="C30" i="24" s="1"/>
  <c r="A31" i="24"/>
  <c r="C31" i="24" s="1"/>
  <c r="A32" i="24"/>
  <c r="C32" i="24" s="1"/>
  <c r="A33" i="24"/>
  <c r="C33" i="24" s="1"/>
  <c r="A24" i="24"/>
  <c r="C24" i="24" s="1"/>
  <c r="K13" i="24" l="1"/>
  <c r="L13" i="24"/>
  <c r="K2" i="24"/>
  <c r="L2" i="24"/>
  <c r="T8" i="26"/>
  <c r="T29" i="26" s="1"/>
  <c r="W2" i="26"/>
  <c r="W23" i="26" s="1"/>
  <c r="S7" i="26"/>
  <c r="S28" i="26" s="1"/>
  <c r="S8" i="26"/>
  <c r="S29" i="26" s="1"/>
  <c r="A91" i="24"/>
  <c r="C91" i="24" s="1"/>
  <c r="C90" i="24"/>
  <c r="A267" i="24"/>
  <c r="C267" i="24" s="1"/>
  <c r="C266" i="24"/>
  <c r="A102" i="24"/>
  <c r="C102" i="24" s="1"/>
  <c r="C101" i="24"/>
  <c r="A113" i="24"/>
  <c r="C113" i="24" s="1"/>
  <c r="C112" i="24"/>
  <c r="A300" i="24"/>
  <c r="C300" i="24" s="1"/>
  <c r="C299" i="24"/>
  <c r="A322" i="24"/>
  <c r="C322" i="24" s="1"/>
  <c r="C321" i="24"/>
  <c r="A135" i="24"/>
  <c r="C135" i="24" s="1"/>
  <c r="C134" i="24"/>
  <c r="A190" i="24"/>
  <c r="C189" i="24"/>
  <c r="A168" i="24"/>
  <c r="C168" i="24" s="1"/>
  <c r="C167" i="24"/>
  <c r="A69" i="24"/>
  <c r="C69" i="24" s="1"/>
  <c r="C68" i="24"/>
  <c r="W6" i="26"/>
  <c r="W27" i="26" s="1"/>
  <c r="T5" i="26"/>
  <c r="T26" i="26" s="1"/>
  <c r="U5" i="26"/>
  <c r="U26" i="26" s="1"/>
  <c r="W7" i="26"/>
  <c r="W28" i="26" s="1"/>
  <c r="S3" i="26"/>
  <c r="S24" i="26" s="1"/>
  <c r="U3" i="26"/>
  <c r="U24" i="26" s="1"/>
  <c r="T6" i="26"/>
  <c r="T27" i="26" s="1"/>
  <c r="W5" i="26"/>
  <c r="W26" i="26" s="1"/>
  <c r="S4" i="26"/>
  <c r="S25" i="26" s="1"/>
  <c r="X7" i="26"/>
  <c r="X28" i="26" s="1"/>
  <c r="S2" i="26"/>
  <c r="S23" i="26" s="1"/>
  <c r="L2" i="26"/>
  <c r="T2" i="26"/>
  <c r="T23" i="26" s="1"/>
  <c r="U6" i="26"/>
  <c r="U27" i="26" s="1"/>
  <c r="T7" i="26"/>
  <c r="T28" i="26" s="1"/>
  <c r="U2" i="26"/>
  <c r="U23" i="26" s="1"/>
  <c r="S5" i="26"/>
  <c r="S26" i="26" s="1"/>
  <c r="X3" i="26"/>
  <c r="X24" i="26" s="1"/>
  <c r="E2" i="26"/>
  <c r="W4" i="26"/>
  <c r="W25" i="26" s="1"/>
  <c r="W8" i="26"/>
  <c r="W29" i="26" s="1"/>
  <c r="W3" i="26"/>
  <c r="W24" i="26" s="1"/>
  <c r="T4" i="26"/>
  <c r="T25" i="26" s="1"/>
  <c r="X5" i="26"/>
  <c r="X26" i="26" s="1"/>
  <c r="U8" i="26"/>
  <c r="U29" i="26" s="1"/>
  <c r="X6" i="26"/>
  <c r="X27" i="26" s="1"/>
  <c r="X8" i="26"/>
  <c r="X4" i="26"/>
  <c r="X25" i="26" s="1"/>
  <c r="U4" i="26"/>
  <c r="U25" i="26" s="1"/>
  <c r="X2" i="26"/>
  <c r="X23" i="26" s="1"/>
  <c r="U7" i="26"/>
  <c r="U28" i="26" s="1"/>
  <c r="P22" i="24"/>
  <c r="Q62" i="24"/>
  <c r="S6" i="26"/>
  <c r="T3" i="26"/>
  <c r="T24" i="26" s="1"/>
  <c r="Q12" i="24"/>
  <c r="A124" i="24"/>
  <c r="C124" i="24" s="1"/>
  <c r="A223" i="24"/>
  <c r="C223" i="24" s="1"/>
  <c r="A311" i="24"/>
  <c r="C311" i="24" s="1"/>
  <c r="J25" i="24"/>
  <c r="A179" i="24"/>
  <c r="C179" i="24" s="1"/>
  <c r="A234" i="24"/>
  <c r="C234" i="24" s="1"/>
  <c r="Q22" i="24"/>
  <c r="A80" i="24"/>
  <c r="C80" i="24" s="1"/>
  <c r="A169" i="24"/>
  <c r="C169" i="24" s="1"/>
  <c r="A289" i="24"/>
  <c r="C289" i="24" s="1"/>
  <c r="A47" i="24"/>
  <c r="C47" i="24" s="1"/>
  <c r="A58" i="24"/>
  <c r="C58" i="24" s="1"/>
  <c r="A157" i="24"/>
  <c r="C157" i="24" s="1"/>
  <c r="A278" i="24"/>
  <c r="C278" i="24" s="1"/>
  <c r="A146" i="24"/>
  <c r="C146" i="24" s="1"/>
  <c r="A212" i="24"/>
  <c r="C212" i="24" s="1"/>
  <c r="A201" i="24"/>
  <c r="C201" i="24" s="1"/>
  <c r="A245" i="24"/>
  <c r="C245" i="24" s="1"/>
  <c r="A256" i="24"/>
  <c r="C256" i="24" s="1"/>
  <c r="Q2" i="24"/>
  <c r="Q32" i="24"/>
  <c r="P32" i="24"/>
  <c r="J36" i="24"/>
  <c r="J3" i="24"/>
  <c r="P42" i="24"/>
  <c r="Q42" i="24"/>
  <c r="J47" i="24"/>
  <c r="Q52" i="24"/>
  <c r="P52" i="24"/>
  <c r="J58" i="24"/>
  <c r="P2" i="24"/>
  <c r="J14" i="24"/>
  <c r="P62" i="24"/>
  <c r="J69" i="24"/>
  <c r="BB13" i="1"/>
  <c r="A14" i="24"/>
  <c r="C14" i="24" s="1"/>
  <c r="A15" i="24"/>
  <c r="C15" i="24" s="1"/>
  <c r="A16" i="24"/>
  <c r="C16" i="24" s="1"/>
  <c r="A17" i="24"/>
  <c r="C17" i="24" s="1"/>
  <c r="A18" i="24"/>
  <c r="C18" i="24" s="1"/>
  <c r="A19" i="24"/>
  <c r="C19" i="24" s="1"/>
  <c r="A20" i="24"/>
  <c r="C20" i="24" s="1"/>
  <c r="A21" i="24"/>
  <c r="C21" i="24" s="1"/>
  <c r="A22" i="24"/>
  <c r="C22" i="24" s="1"/>
  <c r="A13" i="24"/>
  <c r="C13" i="24" s="1"/>
  <c r="A3" i="24"/>
  <c r="C3" i="24" s="1"/>
  <c r="A4" i="24"/>
  <c r="C4" i="24" s="1"/>
  <c r="A5" i="24"/>
  <c r="C5" i="24" s="1"/>
  <c r="A6" i="24"/>
  <c r="C6" i="24" s="1"/>
  <c r="A7" i="24"/>
  <c r="C7" i="24" s="1"/>
  <c r="A8" i="24"/>
  <c r="C8" i="24" s="1"/>
  <c r="A9" i="24"/>
  <c r="C9" i="24" s="1"/>
  <c r="A10" i="24"/>
  <c r="C10" i="24" s="1"/>
  <c r="A11" i="24"/>
  <c r="C11" i="24" s="1"/>
  <c r="A2" i="24"/>
  <c r="C2" i="24" s="1"/>
  <c r="A268" i="24" l="1"/>
  <c r="C268" i="24" s="1"/>
  <c r="A92" i="24"/>
  <c r="C92" i="24" s="1"/>
  <c r="A103" i="24"/>
  <c r="A104" i="24" s="1"/>
  <c r="C104" i="24" s="1"/>
  <c r="A70" i="24"/>
  <c r="C70" i="24" s="1"/>
  <c r="L14" i="24"/>
  <c r="P13" i="24" s="1"/>
  <c r="K14" i="24"/>
  <c r="L3" i="24"/>
  <c r="P3" i="24" s="1"/>
  <c r="K3" i="24"/>
  <c r="A114" i="24"/>
  <c r="A115" i="24" s="1"/>
  <c r="A301" i="24"/>
  <c r="C301" i="24" s="1"/>
  <c r="A136" i="24"/>
  <c r="C136" i="24" s="1"/>
  <c r="A191" i="24"/>
  <c r="C190" i="24"/>
  <c r="A323" i="24"/>
  <c r="C323" i="24" s="1"/>
  <c r="V5" i="26"/>
  <c r="V6" i="26"/>
  <c r="J26" i="24"/>
  <c r="V4" i="26"/>
  <c r="V3" i="26"/>
  <c r="V7" i="26"/>
  <c r="Q23" i="24"/>
  <c r="R6" i="26"/>
  <c r="R27" i="26" s="1"/>
  <c r="Y7" i="26"/>
  <c r="Y28" i="26" s="1"/>
  <c r="V2" i="26"/>
  <c r="R2" i="26"/>
  <c r="R23" i="26" s="1"/>
  <c r="Y8" i="26"/>
  <c r="Y29" i="26" s="1"/>
  <c r="R5" i="26"/>
  <c r="R26" i="26" s="1"/>
  <c r="V8" i="26"/>
  <c r="M24" i="24"/>
  <c r="A224" i="24"/>
  <c r="R8" i="26"/>
  <c r="R29" i="26" s="1"/>
  <c r="Y3" i="26"/>
  <c r="Y24" i="26" s="1"/>
  <c r="S27" i="26"/>
  <c r="R4" i="26"/>
  <c r="R25" i="26" s="1"/>
  <c r="R3" i="26"/>
  <c r="R24" i="26" s="1"/>
  <c r="Y5" i="26"/>
  <c r="Y26" i="26" s="1"/>
  <c r="Y6" i="26"/>
  <c r="Y27" i="26" s="1"/>
  <c r="R7" i="26"/>
  <c r="R28" i="26" s="1"/>
  <c r="X29" i="26"/>
  <c r="Y4" i="26"/>
  <c r="Y25" i="26" s="1"/>
  <c r="Y2" i="26"/>
  <c r="Y23" i="26" s="1"/>
  <c r="P23" i="24"/>
  <c r="A180" i="24"/>
  <c r="C180" i="24" s="1"/>
  <c r="A125" i="24"/>
  <c r="M35" i="24"/>
  <c r="M57" i="24"/>
  <c r="M46" i="24"/>
  <c r="A312" i="24"/>
  <c r="A235" i="24"/>
  <c r="C235" i="24" s="1"/>
  <c r="Q24" i="24"/>
  <c r="P24" i="24"/>
  <c r="J27" i="24"/>
  <c r="A202" i="24"/>
  <c r="C202" i="24" s="1"/>
  <c r="A59" i="24"/>
  <c r="C59" i="24" s="1"/>
  <c r="M68" i="24"/>
  <c r="A147" i="24"/>
  <c r="C147" i="24" s="1"/>
  <c r="A158" i="24"/>
  <c r="C158" i="24" s="1"/>
  <c r="A48" i="24"/>
  <c r="C48" i="24" s="1"/>
  <c r="A290" i="24"/>
  <c r="C290" i="24" s="1"/>
  <c r="A93" i="24"/>
  <c r="C93" i="24" s="1"/>
  <c r="M13" i="24"/>
  <c r="P12" i="24"/>
  <c r="Q33" i="24"/>
  <c r="P33" i="24"/>
  <c r="J37" i="24"/>
  <c r="A170" i="24"/>
  <c r="C170" i="24" s="1"/>
  <c r="Q13" i="24"/>
  <c r="J15" i="24"/>
  <c r="Q53" i="24"/>
  <c r="J59" i="24"/>
  <c r="P53" i="24"/>
  <c r="J48" i="24"/>
  <c r="Q43" i="24"/>
  <c r="P43" i="24"/>
  <c r="A257" i="24"/>
  <c r="C257" i="24" s="1"/>
  <c r="A81" i="24"/>
  <c r="C81" i="24" s="1"/>
  <c r="P63" i="24"/>
  <c r="Q63" i="24"/>
  <c r="J70" i="24"/>
  <c r="Q3" i="24"/>
  <c r="J4" i="24"/>
  <c r="M2" i="24"/>
  <c r="A246" i="24"/>
  <c r="C246" i="24" s="1"/>
  <c r="A213" i="24"/>
  <c r="C213" i="24" s="1"/>
  <c r="A279" i="24"/>
  <c r="C279" i="24" s="1"/>
  <c r="A269" i="24"/>
  <c r="C269" i="24" s="1"/>
  <c r="A302" i="24" l="1"/>
  <c r="C302" i="24" s="1"/>
  <c r="A71" i="24"/>
  <c r="C71" i="24" s="1"/>
  <c r="C103" i="24"/>
  <c r="F103" i="24" s="1"/>
  <c r="L15" i="24"/>
  <c r="K15" i="24"/>
  <c r="L4" i="24"/>
  <c r="P4" i="24" s="1"/>
  <c r="K4" i="24"/>
  <c r="C114" i="24"/>
  <c r="F114" i="24" s="1"/>
  <c r="A105" i="24"/>
  <c r="C105" i="24" s="1"/>
  <c r="A137" i="24"/>
  <c r="C137" i="24" s="1"/>
  <c r="C115" i="24"/>
  <c r="F115" i="24" s="1"/>
  <c r="A116" i="24"/>
  <c r="C116" i="24" s="1"/>
  <c r="A313" i="24"/>
  <c r="C313" i="24" s="1"/>
  <c r="C312" i="24"/>
  <c r="F312" i="24" s="1"/>
  <c r="A126" i="24"/>
  <c r="C126" i="24" s="1"/>
  <c r="C125" i="24"/>
  <c r="F125" i="24" s="1"/>
  <c r="C191" i="24"/>
  <c r="F191" i="24" s="1"/>
  <c r="A192" i="24"/>
  <c r="A324" i="24"/>
  <c r="C324" i="24" s="1"/>
  <c r="A225" i="24"/>
  <c r="C225" i="24" s="1"/>
  <c r="C224" i="24"/>
  <c r="F224" i="24" s="1"/>
  <c r="V29" i="26"/>
  <c r="AA8" i="26"/>
  <c r="V23" i="26"/>
  <c r="AB5" i="26" a="1"/>
  <c r="AB5" i="26" s="1"/>
  <c r="AC10" i="26" a="1"/>
  <c r="AC10" i="26" s="1"/>
  <c r="AB3" i="26" a="1"/>
  <c r="AB3" i="26" s="1"/>
  <c r="AE10" i="26" a="1"/>
  <c r="AE10" i="26" s="1"/>
  <c r="AB8" i="26" a="1"/>
  <c r="AB8" i="26" s="1"/>
  <c r="AE2" i="26" a="1"/>
  <c r="AE2" i="26" s="1"/>
  <c r="AD3" i="26" a="1"/>
  <c r="AD3" i="26" s="1"/>
  <c r="AE5" i="26" a="1"/>
  <c r="AE5" i="26" s="1"/>
  <c r="AC8" i="26" a="1"/>
  <c r="AC8" i="26" s="1"/>
  <c r="AD2" i="26" a="1"/>
  <c r="AD2" i="26" s="1"/>
  <c r="AE6" i="26" a="1"/>
  <c r="AE6" i="26" s="1"/>
  <c r="AC5" i="26" a="1"/>
  <c r="AC5" i="26" s="1"/>
  <c r="AD7" i="26" a="1"/>
  <c r="AD7" i="26" s="1"/>
  <c r="AD10" i="26" a="1"/>
  <c r="AD10" i="26" s="1"/>
  <c r="AC3" i="26" a="1"/>
  <c r="AC3" i="26" s="1"/>
  <c r="AC2" i="26" a="1"/>
  <c r="AC2" i="26" s="1"/>
  <c r="AC6" i="26" a="1"/>
  <c r="AC6" i="26" s="1"/>
  <c r="AC4" i="26" a="1"/>
  <c r="AC4" i="26" s="1"/>
  <c r="AC9" i="26" a="1"/>
  <c r="AC9" i="26" s="1"/>
  <c r="AB10" i="26" a="1"/>
  <c r="AB10" i="26" s="1"/>
  <c r="AE7" i="26" a="1"/>
  <c r="AE7" i="26" s="1"/>
  <c r="AD5" i="26" a="1"/>
  <c r="AD5" i="26" s="1"/>
  <c r="AD8" i="26" a="1"/>
  <c r="AD8" i="26" s="1"/>
  <c r="AB4" i="26" a="1"/>
  <c r="AB4" i="26" s="1"/>
  <c r="AD6" i="26" a="1"/>
  <c r="AD6" i="26" s="1"/>
  <c r="AB9" i="26" a="1"/>
  <c r="AB9" i="26" s="1"/>
  <c r="AD9" i="26" a="1"/>
  <c r="AD9" i="26" s="1"/>
  <c r="AD4" i="26" a="1"/>
  <c r="AD4" i="26" s="1"/>
  <c r="AB7" i="26" a="1"/>
  <c r="AB7" i="26" s="1"/>
  <c r="AE9" i="26" a="1"/>
  <c r="AE9" i="26" s="1"/>
  <c r="AE4" i="26" a="1"/>
  <c r="AE4" i="26" s="1"/>
  <c r="AC7" i="26" a="1"/>
  <c r="AC7" i="26" s="1"/>
  <c r="AE3" i="26" a="1"/>
  <c r="AE3" i="26" s="1"/>
  <c r="AB6" i="26" a="1"/>
  <c r="AB6" i="26" s="1"/>
  <c r="AE8" i="26" a="1"/>
  <c r="AE8" i="26" s="1"/>
  <c r="AB2" i="26" a="1"/>
  <c r="AB2" i="26" s="1"/>
  <c r="AA2" i="26"/>
  <c r="AA9" i="26"/>
  <c r="AA10" i="26"/>
  <c r="V28" i="26"/>
  <c r="AA7" i="26"/>
  <c r="V24" i="26"/>
  <c r="AA3" i="26"/>
  <c r="V25" i="26"/>
  <c r="AA4" i="26"/>
  <c r="V27" i="26"/>
  <c r="AA6" i="26"/>
  <c r="V26" i="26"/>
  <c r="AA5" i="26"/>
  <c r="A181" i="24"/>
  <c r="M25" i="24"/>
  <c r="G48" i="24"/>
  <c r="G152" i="24"/>
  <c r="G47" i="24"/>
  <c r="F47" i="24"/>
  <c r="F58" i="24"/>
  <c r="G53" i="24"/>
  <c r="G71" i="24"/>
  <c r="G91" i="24"/>
  <c r="F91" i="24"/>
  <c r="G102" i="24"/>
  <c r="F102" i="24"/>
  <c r="G106" i="24"/>
  <c r="G110" i="24"/>
  <c r="G123" i="24"/>
  <c r="F123" i="24"/>
  <c r="G131" i="24"/>
  <c r="G112" i="24"/>
  <c r="F112" i="24"/>
  <c r="G116" i="24"/>
  <c r="G118" i="24"/>
  <c r="F136" i="24"/>
  <c r="F146" i="24"/>
  <c r="G154" i="24"/>
  <c r="F157" i="24"/>
  <c r="G164" i="24"/>
  <c r="G189" i="24"/>
  <c r="F189" i="24"/>
  <c r="G197" i="24"/>
  <c r="G180" i="24"/>
  <c r="F180" i="24"/>
  <c r="G185" i="24"/>
  <c r="G213" i="24"/>
  <c r="F200" i="24"/>
  <c r="G209" i="24"/>
  <c r="F233" i="24"/>
  <c r="G231" i="24"/>
  <c r="G262" i="24"/>
  <c r="G251" i="24"/>
  <c r="F278" i="24"/>
  <c r="G269" i="24"/>
  <c r="G274" i="24"/>
  <c r="F299" i="24"/>
  <c r="G290" i="24"/>
  <c r="G295" i="24"/>
  <c r="G323" i="24"/>
  <c r="F323" i="24"/>
  <c r="F310" i="24"/>
  <c r="F46" i="24"/>
  <c r="G86" i="24"/>
  <c r="G74" i="24"/>
  <c r="F92" i="24"/>
  <c r="G97" i="24"/>
  <c r="G107" i="24"/>
  <c r="G124" i="24"/>
  <c r="F124" i="24"/>
  <c r="G128" i="24"/>
  <c r="F113" i="24"/>
  <c r="G119" i="24"/>
  <c r="G140" i="24"/>
  <c r="G147" i="24"/>
  <c r="G158" i="24"/>
  <c r="G161" i="24"/>
  <c r="G165" i="24"/>
  <c r="F167" i="24"/>
  <c r="F190" i="24"/>
  <c r="G194" i="24"/>
  <c r="G181" i="24"/>
  <c r="G186" i="24"/>
  <c r="G214" i="24"/>
  <c r="G218" i="24"/>
  <c r="G201" i="24"/>
  <c r="G240" i="24"/>
  <c r="G224" i="24"/>
  <c r="G228" i="24"/>
  <c r="G223" i="24"/>
  <c r="F223" i="24"/>
  <c r="G247" i="24"/>
  <c r="G283" i="24"/>
  <c r="G266" i="24"/>
  <c r="F266" i="24"/>
  <c r="G271" i="24"/>
  <c r="F300" i="24"/>
  <c r="G304" i="24"/>
  <c r="G296" i="24"/>
  <c r="G328" i="24"/>
  <c r="F311" i="24"/>
  <c r="G59" i="24"/>
  <c r="G60" i="24"/>
  <c r="G51" i="24"/>
  <c r="G50" i="24"/>
  <c r="G79" i="24"/>
  <c r="F79" i="24"/>
  <c r="G87" i="24"/>
  <c r="F68" i="24"/>
  <c r="G75" i="24"/>
  <c r="G93" i="24"/>
  <c r="G104" i="24"/>
  <c r="F104" i="24"/>
  <c r="G108" i="24"/>
  <c r="G129" i="24"/>
  <c r="G120" i="24"/>
  <c r="G138" i="24"/>
  <c r="G141" i="24"/>
  <c r="F135" i="24"/>
  <c r="G159" i="24"/>
  <c r="G168" i="24"/>
  <c r="F168" i="24"/>
  <c r="G172" i="24"/>
  <c r="G195" i="24"/>
  <c r="G178" i="24"/>
  <c r="F178" i="24"/>
  <c r="G182" i="24"/>
  <c r="G183" i="24"/>
  <c r="F211" i="24"/>
  <c r="G215" i="24"/>
  <c r="G202" i="24"/>
  <c r="G207" i="24"/>
  <c r="G235" i="24"/>
  <c r="G222" i="24"/>
  <c r="F222" i="24"/>
  <c r="G225" i="24"/>
  <c r="G264" i="24"/>
  <c r="F256" i="24"/>
  <c r="G244" i="24"/>
  <c r="F244" i="24"/>
  <c r="G249" i="24"/>
  <c r="G253" i="24"/>
  <c r="G267" i="24"/>
  <c r="F267" i="24"/>
  <c r="F301" i="24"/>
  <c r="G288" i="24"/>
  <c r="F288" i="24"/>
  <c r="G292" i="24"/>
  <c r="G293" i="24"/>
  <c r="G297" i="24"/>
  <c r="G321" i="24"/>
  <c r="F321" i="24"/>
  <c r="G325" i="24"/>
  <c r="G329" i="24"/>
  <c r="F201" i="24"/>
  <c r="G55" i="24"/>
  <c r="F57" i="24"/>
  <c r="G61" i="24"/>
  <c r="G52" i="24"/>
  <c r="G49" i="24"/>
  <c r="F80" i="24"/>
  <c r="G84" i="24"/>
  <c r="G88" i="24"/>
  <c r="F70" i="24"/>
  <c r="G69" i="24"/>
  <c r="F69" i="24"/>
  <c r="G76" i="24"/>
  <c r="G90" i="24"/>
  <c r="F90" i="24"/>
  <c r="F101" i="24"/>
  <c r="G105" i="24"/>
  <c r="G109" i="24"/>
  <c r="G126" i="24"/>
  <c r="G130" i="24"/>
  <c r="G117" i="24"/>
  <c r="G121" i="24"/>
  <c r="F134" i="24"/>
  <c r="F145" i="24"/>
  <c r="G156" i="24"/>
  <c r="F156" i="24"/>
  <c r="F169" i="24"/>
  <c r="G173" i="24"/>
  <c r="G179" i="24"/>
  <c r="F179" i="24"/>
  <c r="G212" i="24"/>
  <c r="F212" i="24"/>
  <c r="G216" i="24"/>
  <c r="G220" i="24"/>
  <c r="G203" i="24"/>
  <c r="G242" i="24"/>
  <c r="G238" i="24"/>
  <c r="F234" i="24"/>
  <c r="G230" i="24"/>
  <c r="G255" i="24"/>
  <c r="F255" i="24"/>
  <c r="G245" i="24"/>
  <c r="F245" i="24"/>
  <c r="G250" i="24"/>
  <c r="F277" i="24"/>
  <c r="G281" i="24"/>
  <c r="G268" i="24"/>
  <c r="F268" i="24"/>
  <c r="G273" i="24"/>
  <c r="G302" i="24"/>
  <c r="G289" i="24"/>
  <c r="F289" i="24"/>
  <c r="G294" i="24"/>
  <c r="G322" i="24"/>
  <c r="F322" i="24"/>
  <c r="G326" i="24"/>
  <c r="G330" i="24"/>
  <c r="G312" i="24"/>
  <c r="M36" i="24"/>
  <c r="A236" i="24"/>
  <c r="C236" i="24" s="1"/>
  <c r="M58" i="24"/>
  <c r="A270" i="24"/>
  <c r="C270" i="24" s="1"/>
  <c r="A280" i="24"/>
  <c r="C280" i="24" s="1"/>
  <c r="A247" i="24"/>
  <c r="C247" i="24" s="1"/>
  <c r="Q4" i="24"/>
  <c r="J5" i="24"/>
  <c r="P64" i="24"/>
  <c r="J71" i="24"/>
  <c r="Q64" i="24"/>
  <c r="A258" i="24"/>
  <c r="C258" i="24" s="1"/>
  <c r="M14" i="24"/>
  <c r="A314" i="24"/>
  <c r="C314" i="24" s="1"/>
  <c r="A49" i="24"/>
  <c r="C49" i="24" s="1"/>
  <c r="F48" i="24"/>
  <c r="A159" i="24"/>
  <c r="C159" i="24" s="1"/>
  <c r="M26" i="24"/>
  <c r="Q14" i="24"/>
  <c r="P14" i="24"/>
  <c r="J16" i="24"/>
  <c r="A171" i="24"/>
  <c r="C171" i="24" s="1"/>
  <c r="Q34" i="24"/>
  <c r="J38" i="24"/>
  <c r="P34" i="24"/>
  <c r="A291" i="24"/>
  <c r="C291" i="24" s="1"/>
  <c r="M3" i="24"/>
  <c r="M69" i="24"/>
  <c r="J49" i="24"/>
  <c r="Q44" i="24"/>
  <c r="P44" i="24"/>
  <c r="P54" i="24"/>
  <c r="J60" i="24"/>
  <c r="Q54" i="24"/>
  <c r="A72" i="24"/>
  <c r="C72" i="24" s="1"/>
  <c r="A94" i="24"/>
  <c r="C94" i="24" s="1"/>
  <c r="A148" i="24"/>
  <c r="C148" i="24" s="1"/>
  <c r="F147" i="24"/>
  <c r="A60" i="24"/>
  <c r="C60" i="24" s="1"/>
  <c r="A203" i="24"/>
  <c r="C203" i="24" s="1"/>
  <c r="A214" i="24"/>
  <c r="C214" i="24" s="1"/>
  <c r="A82" i="24"/>
  <c r="C82" i="24" s="1"/>
  <c r="M47" i="24"/>
  <c r="A303" i="24"/>
  <c r="C303" i="24" s="1"/>
  <c r="J28" i="24"/>
  <c r="Q25" i="24"/>
  <c r="P25" i="24"/>
  <c r="AY14" i="1"/>
  <c r="AZ14" i="1"/>
  <c r="BA14" i="1"/>
  <c r="BB14" i="1"/>
  <c r="BD14" i="1" s="1"/>
  <c r="AY15" i="1"/>
  <c r="AZ15" i="1"/>
  <c r="BA15" i="1"/>
  <c r="BB15" i="1"/>
  <c r="BD15" i="1" s="1"/>
  <c r="AY16" i="1"/>
  <c r="AZ16" i="1"/>
  <c r="BA16" i="1"/>
  <c r="BB16" i="1"/>
  <c r="BD16" i="1" s="1"/>
  <c r="AY17" i="1"/>
  <c r="AZ17" i="1"/>
  <c r="BA17" i="1"/>
  <c r="BB17" i="1"/>
  <c r="BD17" i="1" s="1"/>
  <c r="AY18" i="1"/>
  <c r="AZ18" i="1"/>
  <c r="BA18" i="1"/>
  <c r="BB18" i="1"/>
  <c r="BD18" i="1" s="1"/>
  <c r="AY19" i="1"/>
  <c r="AZ19" i="1"/>
  <c r="BA19" i="1"/>
  <c r="BB19" i="1"/>
  <c r="BD19" i="1" s="1"/>
  <c r="AY20" i="1"/>
  <c r="AZ20" i="1"/>
  <c r="BA20" i="1"/>
  <c r="BB20" i="1"/>
  <c r="BD20" i="1" s="1"/>
  <c r="AY21" i="1"/>
  <c r="AZ21" i="1"/>
  <c r="BA21" i="1"/>
  <c r="BB21" i="1"/>
  <c r="BD21" i="1" s="1"/>
  <c r="AY22" i="1"/>
  <c r="AZ22" i="1"/>
  <c r="BA22" i="1"/>
  <c r="BB22" i="1"/>
  <c r="BD22" i="1" s="1"/>
  <c r="AY23" i="1"/>
  <c r="AZ23" i="1"/>
  <c r="BA23" i="1"/>
  <c r="BB23" i="1"/>
  <c r="BD23" i="1" s="1"/>
  <c r="AY24" i="1"/>
  <c r="AZ24" i="1"/>
  <c r="BA24" i="1"/>
  <c r="BB24" i="1"/>
  <c r="BD24" i="1" s="1"/>
  <c r="AY25" i="1"/>
  <c r="AZ25" i="1"/>
  <c r="BC25" i="1" s="1"/>
  <c r="BA25" i="1"/>
  <c r="BB25" i="1"/>
  <c r="BD25" i="1" s="1"/>
  <c r="AY26" i="1"/>
  <c r="AZ26" i="1"/>
  <c r="BA26" i="1"/>
  <c r="BB26" i="1"/>
  <c r="BD26" i="1" s="1"/>
  <c r="AY27" i="1"/>
  <c r="AZ27" i="1"/>
  <c r="BA27" i="1"/>
  <c r="BB27" i="1"/>
  <c r="BD27" i="1" s="1"/>
  <c r="AY28" i="1"/>
  <c r="AZ28" i="1"/>
  <c r="BA28" i="1"/>
  <c r="BB28" i="1"/>
  <c r="BD28" i="1" s="1"/>
  <c r="AY29" i="1"/>
  <c r="AZ29" i="1"/>
  <c r="BC29" i="1" s="1"/>
  <c r="BA29" i="1"/>
  <c r="BB29" i="1"/>
  <c r="BD29" i="1" s="1"/>
  <c r="AY30" i="1"/>
  <c r="AZ30" i="1"/>
  <c r="BC30" i="1" s="1"/>
  <c r="BA30" i="1"/>
  <c r="BB30" i="1"/>
  <c r="BD30" i="1" s="1"/>
  <c r="AY31" i="1"/>
  <c r="AZ31" i="1"/>
  <c r="BC31" i="1" s="1"/>
  <c r="BA31" i="1"/>
  <c r="BB31" i="1"/>
  <c r="BD31" i="1" s="1"/>
  <c r="AY32" i="1"/>
  <c r="AZ32" i="1"/>
  <c r="BC32" i="1" s="1"/>
  <c r="BA32" i="1"/>
  <c r="BB32" i="1"/>
  <c r="BD32" i="1" s="1"/>
  <c r="AY33" i="1"/>
  <c r="AZ33" i="1"/>
  <c r="BC33" i="1" s="1"/>
  <c r="BA33" i="1"/>
  <c r="BB33" i="1"/>
  <c r="BD33" i="1" s="1"/>
  <c r="AY34" i="1"/>
  <c r="AZ34" i="1"/>
  <c r="BC34" i="1" s="1"/>
  <c r="BA34" i="1"/>
  <c r="BB34" i="1"/>
  <c r="BD34" i="1" s="1"/>
  <c r="AY35" i="1"/>
  <c r="AZ35" i="1"/>
  <c r="BC35" i="1" s="1"/>
  <c r="BA35" i="1"/>
  <c r="BB35" i="1"/>
  <c r="BD35" i="1" s="1"/>
  <c r="AY36" i="1"/>
  <c r="AZ36" i="1"/>
  <c r="BC36" i="1" s="1"/>
  <c r="BA36" i="1"/>
  <c r="BB36" i="1"/>
  <c r="BD36" i="1" s="1"/>
  <c r="AY37" i="1"/>
  <c r="AZ37" i="1"/>
  <c r="BC37" i="1" s="1"/>
  <c r="BA37" i="1"/>
  <c r="BB37" i="1"/>
  <c r="BD37" i="1" s="1"/>
  <c r="AY38" i="1"/>
  <c r="AZ38" i="1"/>
  <c r="BA38" i="1"/>
  <c r="BB38" i="1"/>
  <c r="BD38" i="1" s="1"/>
  <c r="AY39" i="1"/>
  <c r="AZ39" i="1"/>
  <c r="BA39" i="1"/>
  <c r="BB39" i="1"/>
  <c r="BD39" i="1" s="1"/>
  <c r="AY40" i="1"/>
  <c r="AZ40" i="1"/>
  <c r="BA40" i="1"/>
  <c r="BB40" i="1"/>
  <c r="BD40" i="1" s="1"/>
  <c r="AY41" i="1"/>
  <c r="AZ41" i="1"/>
  <c r="BA41" i="1"/>
  <c r="BB41" i="1"/>
  <c r="BD41" i="1" s="1"/>
  <c r="AY42" i="1"/>
  <c r="AZ42" i="1"/>
  <c r="BA42" i="1"/>
  <c r="BB42" i="1"/>
  <c r="BD42" i="1" s="1"/>
  <c r="AY43" i="1"/>
  <c r="AZ43" i="1"/>
  <c r="BA43" i="1"/>
  <c r="BB43" i="1"/>
  <c r="BD43" i="1" s="1"/>
  <c r="AY44" i="1"/>
  <c r="AZ44" i="1"/>
  <c r="BA44" i="1"/>
  <c r="BB44" i="1"/>
  <c r="BD44" i="1" s="1"/>
  <c r="AY45" i="1"/>
  <c r="AZ45" i="1"/>
  <c r="BC45" i="1" s="1"/>
  <c r="BA45" i="1"/>
  <c r="BB45" i="1"/>
  <c r="BD45" i="1" s="1"/>
  <c r="AY46" i="1"/>
  <c r="AZ46" i="1"/>
  <c r="BC46" i="1" s="1"/>
  <c r="BA46" i="1"/>
  <c r="BB46" i="1"/>
  <c r="BD46" i="1" s="1"/>
  <c r="BD13" i="1"/>
  <c r="BA13" i="1"/>
  <c r="AZ13" i="1"/>
  <c r="AY13" i="1"/>
  <c r="A106" i="24" l="1"/>
  <c r="C106" i="24" s="1"/>
  <c r="A117" i="24"/>
  <c r="C117" i="24" s="1"/>
  <c r="F117" i="24" s="1"/>
  <c r="A138" i="24"/>
  <c r="C138" i="24" s="1"/>
  <c r="L16" i="24"/>
  <c r="P15" i="24" s="1"/>
  <c r="K16" i="24"/>
  <c r="L5" i="24"/>
  <c r="P5" i="24" s="1"/>
  <c r="K5" i="24"/>
  <c r="A127" i="24"/>
  <c r="C127" i="24" s="1"/>
  <c r="F127" i="24" s="1"/>
  <c r="A226" i="24"/>
  <c r="C226" i="24" s="1"/>
  <c r="F226" i="24" s="1"/>
  <c r="A182" i="24"/>
  <c r="C182" i="24" s="1"/>
  <c r="F182" i="24" s="1"/>
  <c r="C181" i="24"/>
  <c r="F181" i="24" s="1"/>
  <c r="C192" i="24"/>
  <c r="F192" i="24" s="1"/>
  <c r="A193" i="24"/>
  <c r="F324" i="24"/>
  <c r="A325" i="24"/>
  <c r="C325" i="24" s="1"/>
  <c r="AA25" i="26"/>
  <c r="P10" i="26"/>
  <c r="AA28" i="26"/>
  <c r="AA26" i="26"/>
  <c r="AB24" i="26" a="1"/>
  <c r="AB24" i="26" s="1"/>
  <c r="AD26" i="26" a="1"/>
  <c r="AD26" i="26" s="1"/>
  <c r="AE23" i="26" a="1"/>
  <c r="AE23" i="26" s="1"/>
  <c r="AD24" i="26" a="1"/>
  <c r="AD24" i="26" s="1"/>
  <c r="AE26" i="26" a="1"/>
  <c r="AE26" i="26" s="1"/>
  <c r="AC29" i="26" a="1"/>
  <c r="AC29" i="26" s="1"/>
  <c r="AC24" i="26" a="1"/>
  <c r="AC24" i="26" s="1"/>
  <c r="AB29" i="26" a="1"/>
  <c r="AB29" i="26" s="1"/>
  <c r="AD23" i="26" a="1"/>
  <c r="AD23" i="26" s="1"/>
  <c r="AC23" i="26" a="1"/>
  <c r="AC23" i="26" s="1"/>
  <c r="AD29" i="26" a="1"/>
  <c r="AD29" i="26" s="1"/>
  <c r="AB23" i="26" a="1"/>
  <c r="AB23" i="26" s="1"/>
  <c r="AE24" i="26" a="1"/>
  <c r="AE24" i="26" s="1"/>
  <c r="AB27" i="26" a="1"/>
  <c r="AB27" i="26" s="1"/>
  <c r="AE29" i="26" a="1"/>
  <c r="AE29" i="26" s="1"/>
  <c r="AA23" i="26"/>
  <c r="AB25" i="26" a="1"/>
  <c r="AB25" i="26" s="1"/>
  <c r="AD27" i="26" a="1"/>
  <c r="AD27" i="26" s="1"/>
  <c r="AE25" i="26" a="1"/>
  <c r="AE25" i="26" s="1"/>
  <c r="AB30" i="26" a="1"/>
  <c r="AB30" i="26" s="1"/>
  <c r="AB26" i="26" a="1"/>
  <c r="AB26" i="26" s="1"/>
  <c r="AD30" i="26" a="1"/>
  <c r="AD30" i="26" s="1"/>
  <c r="AC27" i="26" a="1"/>
  <c r="AC27" i="26" s="1"/>
  <c r="AC31" i="26" a="1"/>
  <c r="AC31" i="26" s="1"/>
  <c r="AC30" i="26" a="1"/>
  <c r="AC30" i="26" s="1"/>
  <c r="AB31" i="26" a="1"/>
  <c r="AB31" i="26" s="1"/>
  <c r="AC26" i="26" a="1"/>
  <c r="AC26" i="26" s="1"/>
  <c r="AE30" i="26" a="1"/>
  <c r="AE30" i="26" s="1"/>
  <c r="AE27" i="26" a="1"/>
  <c r="AE27" i="26" s="1"/>
  <c r="AD31" i="26" a="1"/>
  <c r="AD31" i="26" s="1"/>
  <c r="AE31" i="26" a="1"/>
  <c r="AE31" i="26" s="1"/>
  <c r="AB28" i="26" a="1"/>
  <c r="AB28" i="26" s="1"/>
  <c r="AD25" i="26" a="1"/>
  <c r="AD25" i="26" s="1"/>
  <c r="AC28" i="26" a="1"/>
  <c r="AC28" i="26" s="1"/>
  <c r="AD28" i="26" a="1"/>
  <c r="AD28" i="26" s="1"/>
  <c r="AE28" i="26" a="1"/>
  <c r="AE28" i="26" s="1"/>
  <c r="AC25" i="26" a="1"/>
  <c r="AC25" i="26" s="1"/>
  <c r="AA31" i="26"/>
  <c r="AA30" i="26"/>
  <c r="AA24" i="26"/>
  <c r="AA27" i="26"/>
  <c r="AA29" i="26"/>
  <c r="P9" i="26"/>
  <c r="BC41" i="1"/>
  <c r="BC27" i="1"/>
  <c r="BC23" i="1"/>
  <c r="BC21" i="1"/>
  <c r="BC19" i="1"/>
  <c r="BC17" i="1"/>
  <c r="BC15" i="1"/>
  <c r="P5" i="26"/>
  <c r="P7" i="26"/>
  <c r="P4" i="26"/>
  <c r="P3" i="26"/>
  <c r="P6" i="26"/>
  <c r="P8" i="26"/>
  <c r="P2" i="26"/>
  <c r="BC43" i="1"/>
  <c r="BC40" i="1"/>
  <c r="BC39" i="1"/>
  <c r="BC38" i="1"/>
  <c r="BC24" i="1"/>
  <c r="BC22" i="1"/>
  <c r="BC18" i="1"/>
  <c r="BC44" i="1"/>
  <c r="BC42" i="1"/>
  <c r="BC26" i="1"/>
  <c r="G96" i="24"/>
  <c r="G81" i="24"/>
  <c r="G80" i="24"/>
  <c r="BC14" i="1"/>
  <c r="G95" i="24"/>
  <c r="BC13" i="1"/>
  <c r="F313" i="24"/>
  <c r="G101" i="24"/>
  <c r="G142" i="24"/>
  <c r="F213" i="24"/>
  <c r="G196" i="24"/>
  <c r="G234" i="24"/>
  <c r="G160" i="24"/>
  <c r="G205" i="24"/>
  <c r="G263" i="24"/>
  <c r="G73" i="24"/>
  <c r="G62" i="24"/>
  <c r="G46" i="24"/>
  <c r="G139" i="24"/>
  <c r="G85" i="24"/>
  <c r="G174" i="24"/>
  <c r="G82" i="24"/>
  <c r="G200" i="24"/>
  <c r="G127" i="24"/>
  <c r="G134" i="24"/>
  <c r="G184" i="24"/>
  <c r="G77" i="24"/>
  <c r="G136" i="24"/>
  <c r="G217" i="24"/>
  <c r="G157" i="24"/>
  <c r="G66" i="24"/>
  <c r="G58" i="24"/>
  <c r="G132" i="24"/>
  <c r="G204" i="24"/>
  <c r="G237" i="24"/>
  <c r="G68" i="24"/>
  <c r="G103" i="24"/>
  <c r="G143" i="24"/>
  <c r="G170" i="24"/>
  <c r="G286" i="24"/>
  <c r="G92" i="24"/>
  <c r="G246" i="24"/>
  <c r="G278" i="24"/>
  <c r="G303" i="24"/>
  <c r="G315" i="24"/>
  <c r="G227" i="24"/>
  <c r="G310" i="24"/>
  <c r="G233" i="24"/>
  <c r="F202" i="24"/>
  <c r="G113" i="24"/>
  <c r="M4" i="24"/>
  <c r="BC20" i="1"/>
  <c r="BC16" i="1"/>
  <c r="G163" i="24"/>
  <c r="F269" i="24"/>
  <c r="G316" i="24"/>
  <c r="G291" i="24"/>
  <c r="G327" i="24"/>
  <c r="G319" i="24"/>
  <c r="G300" i="24"/>
  <c r="G83" i="24"/>
  <c r="F225" i="24"/>
  <c r="G206" i="24"/>
  <c r="G94" i="24"/>
  <c r="G98" i="24"/>
  <c r="G252" i="24"/>
  <c r="G137" i="24"/>
  <c r="G167" i="24"/>
  <c r="G275" i="24"/>
  <c r="G272" i="24"/>
  <c r="G270" i="24"/>
  <c r="G175" i="24"/>
  <c r="G187" i="24"/>
  <c r="G257" i="24"/>
  <c r="G324" i="24"/>
  <c r="G314" i="24"/>
  <c r="G229" i="24"/>
  <c r="G308" i="24"/>
  <c r="G311" i="24"/>
  <c r="G150" i="24"/>
  <c r="G162" i="24"/>
  <c r="F59" i="24"/>
  <c r="F93" i="24"/>
  <c r="G114" i="24"/>
  <c r="G239" i="24"/>
  <c r="G176" i="24"/>
  <c r="G317" i="24"/>
  <c r="F116" i="24"/>
  <c r="F158" i="24"/>
  <c r="F279" i="24"/>
  <c r="G54" i="24"/>
  <c r="G63" i="24"/>
  <c r="G236" i="24"/>
  <c r="G279" i="24"/>
  <c r="F81" i="24"/>
  <c r="F290" i="24"/>
  <c r="F137" i="24"/>
  <c r="F235" i="24"/>
  <c r="G70" i="24"/>
  <c r="G99" i="24"/>
  <c r="G115" i="24"/>
  <c r="G171" i="24"/>
  <c r="G153" i="24"/>
  <c r="G198" i="24"/>
  <c r="G190" i="24"/>
  <c r="G64" i="24"/>
  <c r="G261" i="24"/>
  <c r="G248" i="24"/>
  <c r="G313" i="24"/>
  <c r="F170" i="24"/>
  <c r="F246" i="24"/>
  <c r="F71" i="24"/>
  <c r="G135" i="24"/>
  <c r="G146" i="24"/>
  <c r="G151" i="24"/>
  <c r="G193" i="24"/>
  <c r="G226" i="24"/>
  <c r="G258" i="24"/>
  <c r="G256" i="24"/>
  <c r="F126" i="24"/>
  <c r="F105" i="24"/>
  <c r="G125" i="24"/>
  <c r="G305" i="24"/>
  <c r="G307" i="24"/>
  <c r="G299" i="24"/>
  <c r="G241" i="24"/>
  <c r="G284" i="24"/>
  <c r="G282" i="24"/>
  <c r="F257" i="24"/>
  <c r="G280" i="24"/>
  <c r="G277" i="24"/>
  <c r="G301" i="24"/>
  <c r="G208" i="24"/>
  <c r="G65" i="24"/>
  <c r="G57" i="24"/>
  <c r="G169" i="24"/>
  <c r="G192" i="24"/>
  <c r="G191" i="24"/>
  <c r="G219" i="24"/>
  <c r="G211" i="24"/>
  <c r="G72" i="24"/>
  <c r="G148" i="24"/>
  <c r="G149" i="24"/>
  <c r="G260" i="24"/>
  <c r="G259" i="24"/>
  <c r="G285" i="24"/>
  <c r="G306" i="24"/>
  <c r="F302" i="24"/>
  <c r="G318" i="24"/>
  <c r="G32" i="24"/>
  <c r="F32" i="24"/>
  <c r="G25" i="24"/>
  <c r="F25" i="24"/>
  <c r="G38" i="24"/>
  <c r="F38" i="24"/>
  <c r="G33" i="24"/>
  <c r="F33" i="24"/>
  <c r="G39" i="24"/>
  <c r="F39" i="24"/>
  <c r="G40" i="24"/>
  <c r="F40" i="24"/>
  <c r="G145" i="24"/>
  <c r="F24" i="24"/>
  <c r="F28" i="24"/>
  <c r="F29" i="24"/>
  <c r="G35" i="24"/>
  <c r="F35" i="24"/>
  <c r="G43" i="24"/>
  <c r="F43" i="24"/>
  <c r="F30" i="24"/>
  <c r="F36" i="24"/>
  <c r="G44" i="24"/>
  <c r="F44" i="24"/>
  <c r="G27" i="24"/>
  <c r="F27" i="24"/>
  <c r="F31" i="24"/>
  <c r="G26" i="24"/>
  <c r="F26" i="24"/>
  <c r="G37" i="24"/>
  <c r="F37" i="24"/>
  <c r="G41" i="24"/>
  <c r="F41" i="24"/>
  <c r="G42" i="24"/>
  <c r="F42" i="24"/>
  <c r="M15" i="24"/>
  <c r="A237" i="24"/>
  <c r="C237" i="24" s="1"/>
  <c r="F236" i="24"/>
  <c r="A292" i="24"/>
  <c r="C292" i="24" s="1"/>
  <c r="F291" i="24"/>
  <c r="J17" i="24"/>
  <c r="Q15" i="24"/>
  <c r="M27" i="24"/>
  <c r="A204" i="24"/>
  <c r="C204" i="24" s="1"/>
  <c r="F203" i="24"/>
  <c r="A73" i="24"/>
  <c r="C73" i="24" s="1"/>
  <c r="F72" i="24"/>
  <c r="J61" i="24"/>
  <c r="P55" i="24"/>
  <c r="Q55" i="24"/>
  <c r="M48" i="24"/>
  <c r="F138" i="24"/>
  <c r="A139" i="24"/>
  <c r="C139" i="24" s="1"/>
  <c r="J72" i="24"/>
  <c r="Q65" i="24"/>
  <c r="P65" i="24"/>
  <c r="A248" i="24"/>
  <c r="C248" i="24" s="1"/>
  <c r="F247" i="24"/>
  <c r="J39" i="24"/>
  <c r="Q35" i="24"/>
  <c r="P35" i="24"/>
  <c r="A160" i="24"/>
  <c r="C160" i="24" s="1"/>
  <c r="F159" i="24"/>
  <c r="J29" i="24"/>
  <c r="P26" i="24"/>
  <c r="Q26" i="24"/>
  <c r="A61" i="24"/>
  <c r="C61" i="24" s="1"/>
  <c r="F60" i="24"/>
  <c r="A50" i="24"/>
  <c r="C50" i="24" s="1"/>
  <c r="F49" i="24"/>
  <c r="A315" i="24"/>
  <c r="C315" i="24" s="1"/>
  <c r="F314" i="24"/>
  <c r="A259" i="24"/>
  <c r="C259" i="24" s="1"/>
  <c r="F258" i="24"/>
  <c r="J6" i="24"/>
  <c r="Q5" i="24"/>
  <c r="A83" i="24"/>
  <c r="C83" i="24" s="1"/>
  <c r="F82" i="24"/>
  <c r="A215" i="24"/>
  <c r="C215" i="24" s="1"/>
  <c r="F214" i="24"/>
  <c r="A149" i="24"/>
  <c r="C149" i="24" s="1"/>
  <c r="F148" i="24"/>
  <c r="A95" i="24"/>
  <c r="C95" i="24" s="1"/>
  <c r="F94" i="24"/>
  <c r="A304" i="24"/>
  <c r="C304" i="24" s="1"/>
  <c r="F303" i="24"/>
  <c r="M59" i="24"/>
  <c r="J50" i="24"/>
  <c r="Q45" i="24"/>
  <c r="P45" i="24"/>
  <c r="M37" i="24"/>
  <c r="A172" i="24"/>
  <c r="C172" i="24" s="1"/>
  <c r="F171" i="24"/>
  <c r="A118" i="24"/>
  <c r="C118" i="24" s="1"/>
  <c r="A107" i="24"/>
  <c r="C107" i="24" s="1"/>
  <c r="F106" i="24"/>
  <c r="M70" i="24"/>
  <c r="A281" i="24"/>
  <c r="C281" i="24" s="1"/>
  <c r="F280" i="24"/>
  <c r="A271" i="24"/>
  <c r="C271" i="24" s="1"/>
  <c r="F270" i="24"/>
  <c r="BC28" i="1"/>
  <c r="G4" i="21"/>
  <c r="K4" i="21" s="1"/>
  <c r="A128" i="24" l="1"/>
  <c r="C128" i="24" s="1"/>
  <c r="A326" i="24"/>
  <c r="C326" i="24" s="1"/>
  <c r="F326" i="24" s="1"/>
  <c r="A227" i="24"/>
  <c r="C227" i="24" s="1"/>
  <c r="A183" i="24"/>
  <c r="C183" i="24" s="1"/>
  <c r="L17" i="24"/>
  <c r="P16" i="24" s="1"/>
  <c r="K17" i="24"/>
  <c r="L6" i="24"/>
  <c r="P6" i="24" s="1"/>
  <c r="K6" i="24"/>
  <c r="F325" i="24"/>
  <c r="C193" i="24"/>
  <c r="F193" i="24" s="1"/>
  <c r="A194" i="24"/>
  <c r="P30" i="26"/>
  <c r="P31" i="26"/>
  <c r="Q13" i="26"/>
  <c r="S7" i="22" s="1"/>
  <c r="X14" i="26"/>
  <c r="Z8" i="22" s="1"/>
  <c r="V16" i="26"/>
  <c r="X10" i="22" s="1"/>
  <c r="T18" i="26"/>
  <c r="V12" i="22" s="1"/>
  <c r="R20" i="26"/>
  <c r="T14" i="22" s="1"/>
  <c r="Q12" i="26"/>
  <c r="S6" i="22" s="1"/>
  <c r="U13" i="26"/>
  <c r="W7" i="22" s="1"/>
  <c r="S15" i="26"/>
  <c r="U9" i="22" s="1"/>
  <c r="Q17" i="26"/>
  <c r="S11" i="22" s="1"/>
  <c r="X18" i="26"/>
  <c r="Z12" i="22" s="1"/>
  <c r="V20" i="26"/>
  <c r="X14" i="22" s="1"/>
  <c r="S17" i="26"/>
  <c r="U11" i="22" s="1"/>
  <c r="X20" i="26"/>
  <c r="Z14" i="22" s="1"/>
  <c r="Y15" i="26"/>
  <c r="AA9" i="22" s="1"/>
  <c r="U19" i="26"/>
  <c r="W13" i="22" s="1"/>
  <c r="Q16" i="26"/>
  <c r="S10" i="22" s="1"/>
  <c r="V19" i="26"/>
  <c r="X13" i="22" s="1"/>
  <c r="T14" i="26"/>
  <c r="V8" i="22" s="1"/>
  <c r="Y17" i="26"/>
  <c r="AA11" i="22" s="1"/>
  <c r="U12" i="26"/>
  <c r="W6" i="22" s="1"/>
  <c r="U14" i="26"/>
  <c r="W8" i="22" s="1"/>
  <c r="S16" i="26"/>
  <c r="U10" i="22" s="1"/>
  <c r="Q18" i="26"/>
  <c r="S12" i="22" s="1"/>
  <c r="T12" i="26"/>
  <c r="V6" i="22" s="1"/>
  <c r="R13" i="26"/>
  <c r="T7" i="22" s="1"/>
  <c r="Y14" i="26"/>
  <c r="AA8" i="22" s="1"/>
  <c r="W16" i="26"/>
  <c r="Y10" i="22" s="1"/>
  <c r="U18" i="26"/>
  <c r="W12" i="22" s="1"/>
  <c r="S20" i="26"/>
  <c r="U14" i="22" s="1"/>
  <c r="U15" i="26"/>
  <c r="W9" i="22" s="1"/>
  <c r="Q19" i="26"/>
  <c r="S13" i="22" s="1"/>
  <c r="R14" i="26"/>
  <c r="T8" i="22" s="1"/>
  <c r="W12" i="26"/>
  <c r="Y6" i="22" s="1"/>
  <c r="X17" i="26"/>
  <c r="Z11" i="22" s="1"/>
  <c r="V12" i="26"/>
  <c r="X6" i="22" s="1"/>
  <c r="R16" i="26"/>
  <c r="T10" i="22" s="1"/>
  <c r="W19" i="26"/>
  <c r="Y13" i="22" s="1"/>
  <c r="S13" i="26"/>
  <c r="U7" i="22" s="1"/>
  <c r="Q15" i="26"/>
  <c r="S9" i="22" s="1"/>
  <c r="X16" i="26"/>
  <c r="Z10" i="22" s="1"/>
  <c r="V18" i="26"/>
  <c r="X12" i="22" s="1"/>
  <c r="T20" i="26"/>
  <c r="V14" i="22" s="1"/>
  <c r="V13" i="26"/>
  <c r="X7" i="22" s="1"/>
  <c r="T15" i="26"/>
  <c r="V9" i="22" s="1"/>
  <c r="R17" i="26"/>
  <c r="T11" i="22" s="1"/>
  <c r="Y18" i="26"/>
  <c r="AA12" i="22" s="1"/>
  <c r="W20" i="26"/>
  <c r="Y14" i="22" s="1"/>
  <c r="W17" i="26"/>
  <c r="Y11" i="22" s="1"/>
  <c r="X19" i="26"/>
  <c r="Z13" i="22" s="1"/>
  <c r="V14" i="26"/>
  <c r="X8" i="22" s="1"/>
  <c r="T16" i="26"/>
  <c r="V10" i="22" s="1"/>
  <c r="Y19" i="26"/>
  <c r="AA13" i="22" s="1"/>
  <c r="S12" i="26"/>
  <c r="U6" i="22" s="1"/>
  <c r="W14" i="26"/>
  <c r="Y8" i="22" s="1"/>
  <c r="U16" i="26"/>
  <c r="W10" i="22" s="1"/>
  <c r="Q20" i="26"/>
  <c r="S14" i="22" s="1"/>
  <c r="T13" i="26"/>
  <c r="V7" i="22" s="1"/>
  <c r="R15" i="26"/>
  <c r="T9" i="22" s="1"/>
  <c r="Y16" i="26"/>
  <c r="AA10" i="22" s="1"/>
  <c r="W18" i="26"/>
  <c r="Y12" i="22" s="1"/>
  <c r="U20" i="26"/>
  <c r="W14" i="22" s="1"/>
  <c r="W13" i="26"/>
  <c r="Y7" i="22" s="1"/>
  <c r="R18" i="26"/>
  <c r="T12" i="22" s="1"/>
  <c r="X13" i="26"/>
  <c r="Z7" i="22" s="1"/>
  <c r="V15" i="26"/>
  <c r="X9" i="22" s="1"/>
  <c r="T17" i="26"/>
  <c r="V11" i="22" s="1"/>
  <c r="R19" i="26"/>
  <c r="T13" i="22" s="1"/>
  <c r="Y20" i="26"/>
  <c r="AA14" i="22" s="1"/>
  <c r="Y13" i="26"/>
  <c r="AA7" i="22" s="1"/>
  <c r="W15" i="26"/>
  <c r="Y9" i="22" s="1"/>
  <c r="U17" i="26"/>
  <c r="W11" i="22" s="1"/>
  <c r="S19" i="26"/>
  <c r="U13" i="22" s="1"/>
  <c r="Y12" i="26"/>
  <c r="AA6" i="22" s="1"/>
  <c r="Q14" i="26"/>
  <c r="S8" i="22" s="1"/>
  <c r="X15" i="26"/>
  <c r="Z9" i="22" s="1"/>
  <c r="V17" i="26"/>
  <c r="X11" i="22" s="1"/>
  <c r="T19" i="26"/>
  <c r="V13" i="22" s="1"/>
  <c r="X12" i="26"/>
  <c r="Z6" i="22" s="1"/>
  <c r="S14" i="26"/>
  <c r="U8" i="22" s="1"/>
  <c r="S18" i="26"/>
  <c r="U12" i="22" s="1"/>
  <c r="R12" i="26"/>
  <c r="T6" i="22" s="1"/>
  <c r="P24" i="26"/>
  <c r="P23" i="26"/>
  <c r="G4" i="20"/>
  <c r="K4" i="20" s="1"/>
  <c r="G29" i="24"/>
  <c r="G24" i="24"/>
  <c r="G36" i="24"/>
  <c r="G30" i="24"/>
  <c r="G28" i="24"/>
  <c r="G31" i="24"/>
  <c r="M71" i="24"/>
  <c r="M5" i="24"/>
  <c r="M60" i="24"/>
  <c r="A238" i="24"/>
  <c r="C238" i="24" s="1"/>
  <c r="F237" i="24"/>
  <c r="M16" i="24"/>
  <c r="A272" i="24"/>
  <c r="C272" i="24" s="1"/>
  <c r="F271" i="24"/>
  <c r="A119" i="24"/>
  <c r="C119" i="24" s="1"/>
  <c r="F118" i="24"/>
  <c r="A305" i="24"/>
  <c r="C305" i="24" s="1"/>
  <c r="F304" i="24"/>
  <c r="A108" i="24"/>
  <c r="C108" i="24" s="1"/>
  <c r="F107" i="24"/>
  <c r="A84" i="24"/>
  <c r="C84" i="24" s="1"/>
  <c r="F83" i="24"/>
  <c r="A316" i="24"/>
  <c r="C316" i="24" s="1"/>
  <c r="F315" i="24"/>
  <c r="M28" i="24"/>
  <c r="Q36" i="24"/>
  <c r="P36" i="24"/>
  <c r="J40" i="24"/>
  <c r="A184" i="24"/>
  <c r="C184" i="24" s="1"/>
  <c r="F183" i="24"/>
  <c r="A173" i="24"/>
  <c r="C173" i="24" s="1"/>
  <c r="F172" i="24"/>
  <c r="A216" i="24"/>
  <c r="C216" i="24" s="1"/>
  <c r="F215" i="24"/>
  <c r="A260" i="24"/>
  <c r="C260" i="24" s="1"/>
  <c r="F259" i="24"/>
  <c r="A62" i="24"/>
  <c r="C62" i="24" s="1"/>
  <c r="F61" i="24"/>
  <c r="J30" i="24"/>
  <c r="Q27" i="24"/>
  <c r="P27" i="24"/>
  <c r="A129" i="24"/>
  <c r="C129" i="24" s="1"/>
  <c r="F128" i="24"/>
  <c r="M38" i="24"/>
  <c r="A249" i="24"/>
  <c r="C249" i="24" s="1"/>
  <c r="F248" i="24"/>
  <c r="J73" i="24"/>
  <c r="P66" i="24"/>
  <c r="Q66" i="24"/>
  <c r="A205" i="24"/>
  <c r="C205" i="24" s="1"/>
  <c r="F204" i="24"/>
  <c r="A293" i="24"/>
  <c r="C293" i="24" s="1"/>
  <c r="F292" i="24"/>
  <c r="A96" i="24"/>
  <c r="C96" i="24" s="1"/>
  <c r="F95" i="24"/>
  <c r="A228" i="24"/>
  <c r="C228" i="24" s="1"/>
  <c r="F227" i="24"/>
  <c r="M49" i="24"/>
  <c r="A282" i="24"/>
  <c r="C282" i="24" s="1"/>
  <c r="F281" i="24"/>
  <c r="J51" i="24"/>
  <c r="P46" i="24"/>
  <c r="Q46" i="24"/>
  <c r="A150" i="24"/>
  <c r="C150" i="24" s="1"/>
  <c r="F149" i="24"/>
  <c r="J7" i="24"/>
  <c r="Q6" i="24"/>
  <c r="A161" i="24"/>
  <c r="C161" i="24" s="1"/>
  <c r="F160" i="24"/>
  <c r="A327" i="24"/>
  <c r="C327" i="24" s="1"/>
  <c r="A74" i="24"/>
  <c r="C74" i="24" s="1"/>
  <c r="F73" i="24"/>
  <c r="J18" i="24"/>
  <c r="Q16" i="24"/>
  <c r="A51" i="24"/>
  <c r="C51" i="24" s="1"/>
  <c r="F50" i="24"/>
  <c r="A140" i="24"/>
  <c r="C140" i="24" s="1"/>
  <c r="F139" i="24"/>
  <c r="J62" i="24"/>
  <c r="Q56" i="24"/>
  <c r="P56" i="24"/>
  <c r="G4" i="1"/>
  <c r="K4" i="1" s="1"/>
  <c r="G7" i="1"/>
  <c r="F10" i="1" s="1"/>
  <c r="Z8" i="1"/>
  <c r="J8" i="1"/>
  <c r="AC7" i="1"/>
  <c r="F25" i="1" s="1"/>
  <c r="AB19" i="1"/>
  <c r="AB20" i="1" s="1"/>
  <c r="AB21" i="1" s="1"/>
  <c r="AB22" i="1" s="1"/>
  <c r="AB23" i="1" s="1"/>
  <c r="AB24" i="1" s="1"/>
  <c r="AB25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P14" i="1"/>
  <c r="AP15" i="1" s="1"/>
  <c r="AP16" i="1" s="1"/>
  <c r="AP17" i="1" s="1"/>
  <c r="AP18" i="1" s="1"/>
  <c r="AP19" i="1" s="1"/>
  <c r="AP20" i="1" s="1"/>
  <c r="AP21" i="1" s="1"/>
  <c r="AP22" i="1" s="1"/>
  <c r="AP23" i="1" s="1"/>
  <c r="AP24" i="1" s="1"/>
  <c r="AP25" i="1" s="1"/>
  <c r="AP26" i="1" s="1"/>
  <c r="AP27" i="1" s="1"/>
  <c r="AP28" i="1" s="1"/>
  <c r="AP29" i="1" s="1"/>
  <c r="AP30" i="1" s="1"/>
  <c r="AP31" i="1" s="1"/>
  <c r="AP32" i="1" s="1"/>
  <c r="AP33" i="1" s="1"/>
  <c r="AP34" i="1" s="1"/>
  <c r="AP35" i="1" s="1"/>
  <c r="AP36" i="1" s="1"/>
  <c r="AP37" i="1" s="1"/>
  <c r="AP38" i="1" s="1"/>
  <c r="AP39" i="1" s="1"/>
  <c r="AP40" i="1" s="1"/>
  <c r="AP41" i="1" s="1"/>
  <c r="AP42" i="1" s="1"/>
  <c r="AP43" i="1" s="1"/>
  <c r="AP44" i="1" s="1"/>
  <c r="AP45" i="1" s="1"/>
  <c r="AP46" i="1" s="1"/>
  <c r="AB14" i="1"/>
  <c r="AB15" i="1" s="1"/>
  <c r="AB16" i="1" s="1"/>
  <c r="AB17" i="1" s="1"/>
  <c r="K18" i="24" l="1"/>
  <c r="L18" i="24"/>
  <c r="P17" i="24" s="1"/>
  <c r="L7" i="24"/>
  <c r="K7" i="24"/>
  <c r="C194" i="24"/>
  <c r="F194" i="24" s="1"/>
  <c r="A195" i="24"/>
  <c r="E23" i="1"/>
  <c r="E15" i="1"/>
  <c r="E22" i="1"/>
  <c r="E14" i="1"/>
  <c r="B22" i="1"/>
  <c r="E21" i="1"/>
  <c r="E19" i="1"/>
  <c r="B19" i="1"/>
  <c r="E18" i="1"/>
  <c r="B18" i="1"/>
  <c r="N24" i="1"/>
  <c r="E16" i="1"/>
  <c r="I24" i="1"/>
  <c r="B23" i="1"/>
  <c r="B15" i="1"/>
  <c r="B14" i="1"/>
  <c r="B21" i="1"/>
  <c r="E20" i="1"/>
  <c r="B20" i="1"/>
  <c r="E17" i="1"/>
  <c r="B17" i="1"/>
  <c r="B16" i="1"/>
  <c r="E35" i="1"/>
  <c r="E33" i="1"/>
  <c r="E32" i="1"/>
  <c r="B32" i="1"/>
  <c r="B15" i="24" s="1"/>
  <c r="E39" i="1"/>
  <c r="B39" i="1"/>
  <c r="B22" i="24" s="1"/>
  <c r="B38" i="1"/>
  <c r="B21" i="24" s="1"/>
  <c r="N40" i="1"/>
  <c r="I40" i="1"/>
  <c r="E36" i="1"/>
  <c r="B35" i="1"/>
  <c r="B18" i="24" s="1"/>
  <c r="E34" i="1"/>
  <c r="B34" i="1"/>
  <c r="B17" i="24" s="1"/>
  <c r="B33" i="1"/>
  <c r="B16" i="24" s="1"/>
  <c r="E31" i="1"/>
  <c r="B31" i="1"/>
  <c r="B14" i="24" s="1"/>
  <c r="E38" i="1"/>
  <c r="E30" i="1"/>
  <c r="B30" i="1"/>
  <c r="B13" i="24" s="1"/>
  <c r="E37" i="1"/>
  <c r="B37" i="1"/>
  <c r="B20" i="24" s="1"/>
  <c r="B36" i="1"/>
  <c r="B19" i="24" s="1"/>
  <c r="G4" i="19"/>
  <c r="K4" i="19" s="1"/>
  <c r="M6" i="24"/>
  <c r="M39" i="24"/>
  <c r="A239" i="24"/>
  <c r="C239" i="24" s="1"/>
  <c r="F238" i="24"/>
  <c r="M17" i="24"/>
  <c r="A151" i="24"/>
  <c r="C151" i="24" s="1"/>
  <c r="F150" i="24"/>
  <c r="A217" i="24"/>
  <c r="C217" i="24" s="1"/>
  <c r="F216" i="24"/>
  <c r="M50" i="24"/>
  <c r="A97" i="24"/>
  <c r="C97" i="24" s="1"/>
  <c r="F96" i="24"/>
  <c r="A294" i="24"/>
  <c r="C294" i="24" s="1"/>
  <c r="F293" i="24"/>
  <c r="M72" i="24"/>
  <c r="M29" i="24"/>
  <c r="A261" i="24"/>
  <c r="C261" i="24" s="1"/>
  <c r="F260" i="24"/>
  <c r="A306" i="24"/>
  <c r="C306" i="24" s="1"/>
  <c r="F305" i="24"/>
  <c r="J52" i="24"/>
  <c r="Q47" i="24"/>
  <c r="P47" i="24"/>
  <c r="A206" i="24"/>
  <c r="C206" i="24" s="1"/>
  <c r="F205" i="24"/>
  <c r="J74" i="24"/>
  <c r="P67" i="24"/>
  <c r="Q67" i="24"/>
  <c r="A317" i="24"/>
  <c r="C317" i="24" s="1"/>
  <c r="F316" i="24"/>
  <c r="A120" i="24"/>
  <c r="C120" i="24" s="1"/>
  <c r="F119" i="24"/>
  <c r="J63" i="24"/>
  <c r="Q57" i="24"/>
  <c r="P57" i="24"/>
  <c r="A141" i="24"/>
  <c r="C141" i="24" s="1"/>
  <c r="F140" i="24"/>
  <c r="J19" i="24"/>
  <c r="Q17" i="24"/>
  <c r="A75" i="24"/>
  <c r="C75" i="24" s="1"/>
  <c r="F74" i="24"/>
  <c r="J8" i="24"/>
  <c r="Q7" i="24"/>
  <c r="P7" i="24"/>
  <c r="A283" i="24"/>
  <c r="C283" i="24" s="1"/>
  <c r="F282" i="24"/>
  <c r="A229" i="24"/>
  <c r="C229" i="24" s="1"/>
  <c r="F228" i="24"/>
  <c r="A63" i="24"/>
  <c r="C63" i="24" s="1"/>
  <c r="F62" i="24"/>
  <c r="A185" i="24"/>
  <c r="C185" i="24" s="1"/>
  <c r="F184" i="24"/>
  <c r="J41" i="24"/>
  <c r="Q37" i="24"/>
  <c r="P37" i="24"/>
  <c r="A109" i="24"/>
  <c r="C109" i="24" s="1"/>
  <c r="F108" i="24"/>
  <c r="M61" i="24"/>
  <c r="A52" i="24"/>
  <c r="C52" i="24" s="1"/>
  <c r="F51" i="24"/>
  <c r="A328" i="24"/>
  <c r="C328" i="24" s="1"/>
  <c r="F327" i="24"/>
  <c r="A162" i="24"/>
  <c r="C162" i="24" s="1"/>
  <c r="F161" i="24"/>
  <c r="A250" i="24"/>
  <c r="C250" i="24" s="1"/>
  <c r="F249" i="24"/>
  <c r="A130" i="24"/>
  <c r="C130" i="24" s="1"/>
  <c r="F129" i="24"/>
  <c r="J31" i="24"/>
  <c r="Q28" i="24"/>
  <c r="P28" i="24"/>
  <c r="A174" i="24"/>
  <c r="C174" i="24" s="1"/>
  <c r="F173" i="24"/>
  <c r="A85" i="24"/>
  <c r="C85" i="24" s="1"/>
  <c r="F84" i="24"/>
  <c r="A273" i="24"/>
  <c r="C273" i="24" s="1"/>
  <c r="F272" i="24"/>
  <c r="AB45" i="1"/>
  <c r="AB46" i="1" s="1"/>
  <c r="AB44" i="1"/>
  <c r="L19" i="24" l="1"/>
  <c r="P18" i="24" s="1"/>
  <c r="K19" i="24"/>
  <c r="L8" i="24"/>
  <c r="P8" i="24" s="1"/>
  <c r="K8" i="24"/>
  <c r="C195" i="24"/>
  <c r="F195" i="24" s="1"/>
  <c r="A196" i="24"/>
  <c r="G4" i="18"/>
  <c r="K4" i="18" s="1"/>
  <c r="M7" i="24"/>
  <c r="M73" i="24"/>
  <c r="AT35" i="1"/>
  <c r="AU35" i="1" s="1"/>
  <c r="F18" i="24"/>
  <c r="AT33" i="1"/>
  <c r="AU33" i="1" s="1"/>
  <c r="F16" i="24"/>
  <c r="AT36" i="1"/>
  <c r="AU36" i="1" s="1"/>
  <c r="F19" i="24"/>
  <c r="AT19" i="1"/>
  <c r="AU19" i="1" s="1"/>
  <c r="B7" i="24"/>
  <c r="F7" i="24" s="1"/>
  <c r="AT38" i="1"/>
  <c r="AU38" i="1" s="1"/>
  <c r="F21" i="24"/>
  <c r="AT31" i="1"/>
  <c r="V31" i="1" s="1"/>
  <c r="D14" i="24" s="1"/>
  <c r="G14" i="24" s="1"/>
  <c r="F14" i="24"/>
  <c r="AT21" i="1"/>
  <c r="AU21" i="1" s="1"/>
  <c r="B9" i="24"/>
  <c r="F9" i="24" s="1"/>
  <c r="AT37" i="1"/>
  <c r="AU37" i="1" s="1"/>
  <c r="F20" i="24"/>
  <c r="AT22" i="1"/>
  <c r="AU22" i="1" s="1"/>
  <c r="B10" i="24"/>
  <c r="F10" i="24" s="1"/>
  <c r="AT34" i="1"/>
  <c r="AU34" i="1" s="1"/>
  <c r="F17" i="24"/>
  <c r="AT20" i="1"/>
  <c r="AU20" i="1" s="1"/>
  <c r="B8" i="24"/>
  <c r="F8" i="24" s="1"/>
  <c r="AT17" i="1"/>
  <c r="AU17" i="1" s="1"/>
  <c r="B5" i="24"/>
  <c r="F5" i="24" s="1"/>
  <c r="AT15" i="1"/>
  <c r="AU15" i="1" s="1"/>
  <c r="B3" i="24"/>
  <c r="F3" i="24" s="1"/>
  <c r="AT14" i="1"/>
  <c r="V14" i="1" s="1"/>
  <c r="D2" i="24" s="1"/>
  <c r="G2" i="24" s="1"/>
  <c r="B2" i="24"/>
  <c r="F2" i="24" s="1"/>
  <c r="AT30" i="1"/>
  <c r="AU30" i="1" s="1"/>
  <c r="F13" i="24"/>
  <c r="AT16" i="1"/>
  <c r="V16" i="1" s="1"/>
  <c r="D4" i="24" s="1"/>
  <c r="G4" i="24" s="1"/>
  <c r="B4" i="24"/>
  <c r="F4" i="24" s="1"/>
  <c r="AT39" i="1"/>
  <c r="V39" i="1" s="1"/>
  <c r="D22" i="24" s="1"/>
  <c r="G22" i="24" s="1"/>
  <c r="F22" i="24"/>
  <c r="AT18" i="1"/>
  <c r="AU18" i="1" s="1"/>
  <c r="B6" i="24"/>
  <c r="F6" i="24" s="1"/>
  <c r="AT32" i="1"/>
  <c r="AU32" i="1" s="1"/>
  <c r="F15" i="24"/>
  <c r="AT23" i="1"/>
  <c r="AU23" i="1" s="1"/>
  <c r="B11" i="24"/>
  <c r="F11" i="24" s="1"/>
  <c r="M40" i="24"/>
  <c r="A240" i="24"/>
  <c r="C240" i="24" s="1"/>
  <c r="F239" i="24"/>
  <c r="A86" i="24"/>
  <c r="C86" i="24" s="1"/>
  <c r="F85" i="24"/>
  <c r="A207" i="24"/>
  <c r="C207" i="24" s="1"/>
  <c r="F206" i="24"/>
  <c r="A274" i="24"/>
  <c r="C274" i="24" s="1"/>
  <c r="F273" i="24"/>
  <c r="M30" i="24"/>
  <c r="A251" i="24"/>
  <c r="C251" i="24" s="1"/>
  <c r="F250" i="24"/>
  <c r="A53" i="24"/>
  <c r="C53" i="24" s="1"/>
  <c r="F52" i="24"/>
  <c r="A110" i="24"/>
  <c r="C110" i="24" s="1"/>
  <c r="F109" i="24"/>
  <c r="J42" i="24"/>
  <c r="P38" i="24"/>
  <c r="Q38" i="24"/>
  <c r="A284" i="24"/>
  <c r="C284" i="24" s="1"/>
  <c r="F283" i="24"/>
  <c r="J9" i="24"/>
  <c r="Q8" i="24"/>
  <c r="M18" i="24"/>
  <c r="M62" i="24"/>
  <c r="A318" i="24"/>
  <c r="C318" i="24" s="1"/>
  <c r="F317" i="24"/>
  <c r="J75" i="24"/>
  <c r="P68" i="24"/>
  <c r="Q68" i="24"/>
  <c r="A295" i="24"/>
  <c r="C295" i="24" s="1"/>
  <c r="F294" i="24"/>
  <c r="A76" i="24"/>
  <c r="C76" i="24" s="1"/>
  <c r="F75" i="24"/>
  <c r="J20" i="24"/>
  <c r="Q18" i="24"/>
  <c r="A262" i="24"/>
  <c r="C262" i="24" s="1"/>
  <c r="F261" i="24"/>
  <c r="A98" i="24"/>
  <c r="C98" i="24" s="1"/>
  <c r="F97" i="24"/>
  <c r="A131" i="24"/>
  <c r="C131" i="24" s="1"/>
  <c r="F130" i="24"/>
  <c r="A329" i="24"/>
  <c r="C329" i="24" s="1"/>
  <c r="F328" i="24"/>
  <c r="A230" i="24"/>
  <c r="C230" i="24" s="1"/>
  <c r="F229" i="24"/>
  <c r="A121" i="24"/>
  <c r="C121" i="24" s="1"/>
  <c r="F120" i="24"/>
  <c r="M51" i="24"/>
  <c r="A186" i="24"/>
  <c r="C186" i="24" s="1"/>
  <c r="F185" i="24"/>
  <c r="A175" i="24"/>
  <c r="C175" i="24" s="1"/>
  <c r="F174" i="24"/>
  <c r="J32" i="24"/>
  <c r="Q29" i="24"/>
  <c r="P29" i="24"/>
  <c r="A163" i="24"/>
  <c r="C163" i="24" s="1"/>
  <c r="F162" i="24"/>
  <c r="A64" i="24"/>
  <c r="C64" i="24" s="1"/>
  <c r="F63" i="24"/>
  <c r="A142" i="24"/>
  <c r="C142" i="24" s="1"/>
  <c r="F141" i="24"/>
  <c r="J64" i="24"/>
  <c r="P58" i="24"/>
  <c r="Q58" i="24"/>
  <c r="J53" i="24"/>
  <c r="Q48" i="24"/>
  <c r="P48" i="24"/>
  <c r="A307" i="24"/>
  <c r="C307" i="24" s="1"/>
  <c r="F306" i="24"/>
  <c r="A218" i="24"/>
  <c r="C218" i="24" s="1"/>
  <c r="F217" i="24"/>
  <c r="A152" i="24"/>
  <c r="C152" i="24" s="1"/>
  <c r="F151" i="24"/>
  <c r="L20" i="24" l="1"/>
  <c r="P19" i="24" s="1"/>
  <c r="K20" i="24"/>
  <c r="K9" i="24"/>
  <c r="L9" i="24"/>
  <c r="P9" i="24" s="1"/>
  <c r="C196" i="24"/>
  <c r="F196" i="24" s="1"/>
  <c r="A197" i="24"/>
  <c r="V34" i="1"/>
  <c r="D17" i="24" s="1"/>
  <c r="G17" i="24" s="1"/>
  <c r="G4" i="17"/>
  <c r="K4" i="17" s="1"/>
  <c r="V33" i="1"/>
  <c r="D16" i="24" s="1"/>
  <c r="G16" i="24" s="1"/>
  <c r="V35" i="1"/>
  <c r="D18" i="24" s="1"/>
  <c r="G18" i="24" s="1"/>
  <c r="V19" i="1"/>
  <c r="D7" i="24" s="1"/>
  <c r="G7" i="24" s="1"/>
  <c r="V37" i="1"/>
  <c r="D20" i="24" s="1"/>
  <c r="G20" i="24" s="1"/>
  <c r="AU31" i="1"/>
  <c r="X31" i="1" s="1"/>
  <c r="V38" i="1"/>
  <c r="D21" i="24" s="1"/>
  <c r="G21" i="24" s="1"/>
  <c r="V18" i="1"/>
  <c r="D6" i="24" s="1"/>
  <c r="G6" i="24" s="1"/>
  <c r="V17" i="1"/>
  <c r="D5" i="24" s="1"/>
  <c r="G5" i="24" s="1"/>
  <c r="AU16" i="1"/>
  <c r="Y16" i="1" s="1"/>
  <c r="V23" i="1"/>
  <c r="D11" i="24" s="1"/>
  <c r="G11" i="24" s="1"/>
  <c r="AU14" i="1"/>
  <c r="Y14" i="1" s="1"/>
  <c r="V20" i="1"/>
  <c r="D8" i="24" s="1"/>
  <c r="G8" i="24" s="1"/>
  <c r="V36" i="1"/>
  <c r="D19" i="24" s="1"/>
  <c r="G19" i="24" s="1"/>
  <c r="AU39" i="1"/>
  <c r="Y39" i="1" s="1"/>
  <c r="V32" i="1"/>
  <c r="D15" i="24" s="1"/>
  <c r="G15" i="24" s="1"/>
  <c r="V15" i="1"/>
  <c r="D3" i="24" s="1"/>
  <c r="G3" i="24" s="1"/>
  <c r="V21" i="1"/>
  <c r="D9" i="24" s="1"/>
  <c r="G9" i="24" s="1"/>
  <c r="V22" i="1"/>
  <c r="D10" i="24" s="1"/>
  <c r="G10" i="24" s="1"/>
  <c r="V30" i="1"/>
  <c r="D13" i="24" s="1"/>
  <c r="G13" i="24" s="1"/>
  <c r="M74" i="24"/>
  <c r="M52" i="24"/>
  <c r="M31" i="24"/>
  <c r="A241" i="24"/>
  <c r="C241" i="24" s="1"/>
  <c r="F240" i="24"/>
  <c r="J65" i="24"/>
  <c r="P59" i="24"/>
  <c r="Q59" i="24"/>
  <c r="F121" i="24"/>
  <c r="A231" i="24"/>
  <c r="C231" i="24" s="1"/>
  <c r="F230" i="24"/>
  <c r="A330" i="24"/>
  <c r="C330" i="24" s="1"/>
  <c r="F329" i="24"/>
  <c r="A132" i="24"/>
  <c r="C132" i="24" s="1"/>
  <c r="F131" i="24"/>
  <c r="A99" i="24"/>
  <c r="C99" i="24" s="1"/>
  <c r="F98" i="24"/>
  <c r="A54" i="24"/>
  <c r="C54" i="24" s="1"/>
  <c r="F53" i="24"/>
  <c r="A187" i="24"/>
  <c r="C187" i="24" s="1"/>
  <c r="F186" i="24"/>
  <c r="A319" i="24"/>
  <c r="C319" i="24" s="1"/>
  <c r="F318" i="24"/>
  <c r="M8" i="24"/>
  <c r="M41" i="24"/>
  <c r="F110" i="24"/>
  <c r="A153" i="24"/>
  <c r="C153" i="24" s="1"/>
  <c r="F152" i="24"/>
  <c r="A143" i="24"/>
  <c r="C143" i="24" s="1"/>
  <c r="F142" i="24"/>
  <c r="A65" i="24"/>
  <c r="C65" i="24" s="1"/>
  <c r="F64" i="24"/>
  <c r="A164" i="24"/>
  <c r="C164" i="24" s="1"/>
  <c r="F163" i="24"/>
  <c r="J33" i="24"/>
  <c r="P30" i="24"/>
  <c r="Q30" i="24"/>
  <c r="J21" i="24"/>
  <c r="Q19" i="24"/>
  <c r="A296" i="24"/>
  <c r="C296" i="24" s="1"/>
  <c r="F295" i="24"/>
  <c r="A308" i="24"/>
  <c r="C308" i="24" s="1"/>
  <c r="F307" i="24"/>
  <c r="J54" i="24"/>
  <c r="Q49" i="24"/>
  <c r="P49" i="24"/>
  <c r="A219" i="24"/>
  <c r="C219" i="24" s="1"/>
  <c r="F218" i="24"/>
  <c r="M63" i="24"/>
  <c r="A176" i="24"/>
  <c r="C176" i="24" s="1"/>
  <c r="F175" i="24"/>
  <c r="M19" i="24"/>
  <c r="J76" i="24"/>
  <c r="Q69" i="24"/>
  <c r="P69" i="24"/>
  <c r="A285" i="24"/>
  <c r="C285" i="24" s="1"/>
  <c r="F284" i="24"/>
  <c r="J43" i="24"/>
  <c r="Q39" i="24"/>
  <c r="P39" i="24"/>
  <c r="A252" i="24"/>
  <c r="C252" i="24" s="1"/>
  <c r="F251" i="24"/>
  <c r="A275" i="24"/>
  <c r="C275" i="24" s="1"/>
  <c r="F274" i="24"/>
  <c r="A208" i="24"/>
  <c r="C208" i="24" s="1"/>
  <c r="F207" i="24"/>
  <c r="A87" i="24"/>
  <c r="C87" i="24" s="1"/>
  <c r="F86" i="24"/>
  <c r="A263" i="24"/>
  <c r="C263" i="24" s="1"/>
  <c r="F262" i="24"/>
  <c r="A77" i="24"/>
  <c r="C77" i="24" s="1"/>
  <c r="F76" i="24"/>
  <c r="J10" i="24"/>
  <c r="Q9" i="24"/>
  <c r="W22" i="1"/>
  <c r="Y22" i="1"/>
  <c r="X22" i="1"/>
  <c r="Y21" i="1"/>
  <c r="X21" i="1"/>
  <c r="W21" i="1"/>
  <c r="W38" i="1"/>
  <c r="X38" i="1"/>
  <c r="Y38" i="1"/>
  <c r="W36" i="1"/>
  <c r="Y36" i="1"/>
  <c r="X36" i="1"/>
  <c r="W35" i="1"/>
  <c r="Y35" i="1"/>
  <c r="X35" i="1"/>
  <c r="W32" i="1"/>
  <c r="Y32" i="1"/>
  <c r="X32" i="1"/>
  <c r="Y30" i="1"/>
  <c r="W30" i="1"/>
  <c r="X30" i="1"/>
  <c r="W15" i="1"/>
  <c r="X15" i="1"/>
  <c r="Y15" i="1"/>
  <c r="X20" i="1"/>
  <c r="Y20" i="1"/>
  <c r="W20" i="1"/>
  <c r="W37" i="1"/>
  <c r="Y37" i="1"/>
  <c r="X37" i="1"/>
  <c r="W19" i="1"/>
  <c r="X19" i="1"/>
  <c r="Y19" i="1"/>
  <c r="Y33" i="1"/>
  <c r="W33" i="1"/>
  <c r="X33" i="1"/>
  <c r="W23" i="1"/>
  <c r="Y23" i="1"/>
  <c r="X23" i="1"/>
  <c r="W18" i="1"/>
  <c r="Y18" i="1"/>
  <c r="X18" i="1"/>
  <c r="Y17" i="1"/>
  <c r="X17" i="1"/>
  <c r="W17" i="1"/>
  <c r="Y34" i="1"/>
  <c r="W34" i="1"/>
  <c r="X34" i="1"/>
  <c r="L21" i="24" l="1"/>
  <c r="P20" i="24" s="1"/>
  <c r="K21" i="24"/>
  <c r="K10" i="24"/>
  <c r="L10" i="24"/>
  <c r="P10" i="24" s="1"/>
  <c r="C197" i="24"/>
  <c r="F197" i="24" s="1"/>
  <c r="A198" i="24"/>
  <c r="G4" i="16"/>
  <c r="K4" i="16" s="1"/>
  <c r="W31" i="1"/>
  <c r="X16" i="1"/>
  <c r="W14" i="1"/>
  <c r="X14" i="1"/>
  <c r="Y31" i="1"/>
  <c r="W16" i="1"/>
  <c r="W39" i="1"/>
  <c r="X39" i="1"/>
  <c r="M32" i="24"/>
  <c r="M53" i="24"/>
  <c r="A242" i="24"/>
  <c r="C242" i="24" s="1"/>
  <c r="F241" i="24"/>
  <c r="M20" i="24"/>
  <c r="A209" i="24"/>
  <c r="C209" i="24" s="1"/>
  <c r="F208" i="24"/>
  <c r="F275" i="24"/>
  <c r="Q31" i="24"/>
  <c r="P31" i="24"/>
  <c r="A154" i="24"/>
  <c r="C154" i="24" s="1"/>
  <c r="F153" i="24"/>
  <c r="M75" i="24"/>
  <c r="F143" i="24"/>
  <c r="F99" i="24"/>
  <c r="F132" i="24"/>
  <c r="M64" i="24"/>
  <c r="F176" i="24"/>
  <c r="A220" i="24"/>
  <c r="C220" i="24" s="1"/>
  <c r="F219" i="24"/>
  <c r="J55" i="24"/>
  <c r="P50" i="24"/>
  <c r="Q50" i="24"/>
  <c r="F330" i="24"/>
  <c r="A88" i="24"/>
  <c r="C88" i="24" s="1"/>
  <c r="F87" i="24"/>
  <c r="J11" i="24"/>
  <c r="Q10" i="24"/>
  <c r="A264" i="24"/>
  <c r="C264" i="24" s="1"/>
  <c r="F263" i="24"/>
  <c r="M42" i="24"/>
  <c r="A286" i="24"/>
  <c r="C286" i="24" s="1"/>
  <c r="F285" i="24"/>
  <c r="A297" i="24"/>
  <c r="C297" i="24" s="1"/>
  <c r="F296" i="24"/>
  <c r="J22" i="24"/>
  <c r="Q20" i="24"/>
  <c r="A66" i="24"/>
  <c r="C66" i="24" s="1"/>
  <c r="F65" i="24"/>
  <c r="A55" i="24"/>
  <c r="C55" i="24" s="1"/>
  <c r="F54" i="24"/>
  <c r="J66" i="24"/>
  <c r="Q60" i="24"/>
  <c r="P60" i="24"/>
  <c r="M9" i="24"/>
  <c r="F77" i="24"/>
  <c r="A253" i="24"/>
  <c r="C253" i="24" s="1"/>
  <c r="F252" i="24"/>
  <c r="J44" i="24"/>
  <c r="Q40" i="24"/>
  <c r="P40" i="24"/>
  <c r="J77" i="24"/>
  <c r="P70" i="24"/>
  <c r="Q70" i="24"/>
  <c r="F308" i="24"/>
  <c r="A165" i="24"/>
  <c r="C165" i="24" s="1"/>
  <c r="F164" i="24"/>
  <c r="F319" i="24"/>
  <c r="F187" i="24"/>
  <c r="F231" i="24"/>
  <c r="L22" i="24" l="1"/>
  <c r="P21" i="24" s="1"/>
  <c r="K22" i="24"/>
  <c r="K11" i="24"/>
  <c r="L11" i="24"/>
  <c r="P11" i="24" s="1"/>
  <c r="C198" i="24"/>
  <c r="F198" i="24" s="1"/>
  <c r="G4" i="15"/>
  <c r="K4" i="15" s="1"/>
  <c r="M65" i="24"/>
  <c r="M33" i="24"/>
  <c r="M43" i="24"/>
  <c r="M54" i="24"/>
  <c r="F242" i="24"/>
  <c r="F88" i="24"/>
  <c r="F154" i="24"/>
  <c r="M76" i="24"/>
  <c r="F253" i="24"/>
  <c r="F297" i="24"/>
  <c r="N2" i="24" s="1"/>
  <c r="F286" i="24"/>
  <c r="F264" i="24"/>
  <c r="Q11" i="24"/>
  <c r="F220" i="24"/>
  <c r="F209" i="24"/>
  <c r="F165" i="24"/>
  <c r="F55" i="24"/>
  <c r="Q61" i="24"/>
  <c r="P61" i="24"/>
  <c r="M21" i="24"/>
  <c r="N21" i="24" s="1"/>
  <c r="P71" i="24"/>
  <c r="Q71" i="24"/>
  <c r="Q41" i="24"/>
  <c r="P41" i="24"/>
  <c r="F66" i="24"/>
  <c r="N69" i="24" s="1"/>
  <c r="Q21" i="24"/>
  <c r="M10" i="24"/>
  <c r="Q51" i="24"/>
  <c r="P51" i="24"/>
  <c r="N54" i="24" l="1"/>
  <c r="R50" i="24" s="1"/>
  <c r="N26" i="24"/>
  <c r="R24" i="24" s="1"/>
  <c r="N43" i="24"/>
  <c r="N33" i="24"/>
  <c r="R31" i="24" s="1"/>
  <c r="N93" i="24"/>
  <c r="N65" i="24"/>
  <c r="R60" i="24" s="1"/>
  <c r="N38" i="24"/>
  <c r="R35" i="24" s="1"/>
  <c r="N57" i="24"/>
  <c r="R52" i="24" s="1"/>
  <c r="N71" i="24"/>
  <c r="R65" i="24" s="1"/>
  <c r="N9" i="24"/>
  <c r="R9" i="24" s="1"/>
  <c r="N63" i="24"/>
  <c r="R58" i="24" s="1"/>
  <c r="N96" i="24"/>
  <c r="R88" i="24" s="1"/>
  <c r="N52" i="24"/>
  <c r="R48" i="24" s="1"/>
  <c r="N10" i="24"/>
  <c r="R10" i="24" s="1"/>
  <c r="N80" i="24"/>
  <c r="R73" i="24" s="1"/>
  <c r="N8" i="24"/>
  <c r="R8" i="24" s="1"/>
  <c r="N37" i="24"/>
  <c r="R34" i="24" s="1"/>
  <c r="N24" i="24"/>
  <c r="R22" i="24" s="1"/>
  <c r="N3" i="24"/>
  <c r="R3" i="24" s="1"/>
  <c r="N98" i="24"/>
  <c r="R90" i="24" s="1"/>
  <c r="N30" i="24"/>
  <c r="R28" i="24" s="1"/>
  <c r="N32" i="24"/>
  <c r="R30" i="24" s="1"/>
  <c r="N5" i="24"/>
  <c r="R5" i="24" s="1"/>
  <c r="N35" i="24"/>
  <c r="R32" i="24" s="1"/>
  <c r="N87" i="24"/>
  <c r="R80" i="24" s="1"/>
  <c r="N70" i="24"/>
  <c r="R64" i="24" s="1"/>
  <c r="N31" i="24"/>
  <c r="R29" i="24" s="1"/>
  <c r="N92" i="24"/>
  <c r="R84" i="24" s="1"/>
  <c r="N97" i="24"/>
  <c r="R89" i="24" s="1"/>
  <c r="N40" i="24"/>
  <c r="R37" i="24" s="1"/>
  <c r="N29" i="24"/>
  <c r="R27" i="24" s="1"/>
  <c r="N16" i="24"/>
  <c r="R15" i="24" s="1"/>
  <c r="N42" i="24"/>
  <c r="R39" i="24" s="1"/>
  <c r="N19" i="24"/>
  <c r="R18" i="24" s="1"/>
  <c r="N73" i="24"/>
  <c r="R67" i="24" s="1"/>
  <c r="N36" i="24"/>
  <c r="R33" i="24" s="1"/>
  <c r="N4" i="24"/>
  <c r="R4" i="24" s="1"/>
  <c r="N76" i="24"/>
  <c r="R70" i="24" s="1"/>
  <c r="N20" i="24"/>
  <c r="R19" i="24" s="1"/>
  <c r="N99" i="24"/>
  <c r="R91" i="24" s="1"/>
  <c r="N90" i="24"/>
  <c r="R82" i="24" s="1"/>
  <c r="N62" i="24"/>
  <c r="R57" i="24" s="1"/>
  <c r="N95" i="24"/>
  <c r="R87" i="24" s="1"/>
  <c r="N94" i="24"/>
  <c r="R86" i="24" s="1"/>
  <c r="N41" i="24"/>
  <c r="R38" i="24" s="1"/>
  <c r="N82" i="24"/>
  <c r="R75" i="24" s="1"/>
  <c r="N60" i="24"/>
  <c r="R55" i="24" s="1"/>
  <c r="N48" i="24"/>
  <c r="R44" i="24" s="1"/>
  <c r="N25" i="24"/>
  <c r="R23" i="24" s="1"/>
  <c r="N28" i="24"/>
  <c r="R26" i="24" s="1"/>
  <c r="N81" i="24"/>
  <c r="R74" i="24" s="1"/>
  <c r="N47" i="24"/>
  <c r="R43" i="24" s="1"/>
  <c r="N83" i="24"/>
  <c r="R76" i="24" s="1"/>
  <c r="N68" i="24"/>
  <c r="R62" i="24" s="1"/>
  <c r="N7" i="24"/>
  <c r="R7" i="24" s="1"/>
  <c r="N49" i="24"/>
  <c r="R45" i="24" s="1"/>
  <c r="N86" i="24"/>
  <c r="R79" i="24" s="1"/>
  <c r="N14" i="24"/>
  <c r="R13" i="24" s="1"/>
  <c r="N74" i="24"/>
  <c r="R68" i="24" s="1"/>
  <c r="N18" i="24"/>
  <c r="R17" i="24" s="1"/>
  <c r="N53" i="24"/>
  <c r="R49" i="24" s="1"/>
  <c r="N64" i="24"/>
  <c r="R59" i="24" s="1"/>
  <c r="N39" i="24"/>
  <c r="R36" i="24" s="1"/>
  <c r="N84" i="24"/>
  <c r="R77" i="24" s="1"/>
  <c r="N6" i="24"/>
  <c r="R6" i="24" s="1"/>
  <c r="N91" i="24"/>
  <c r="R83" i="24" s="1"/>
  <c r="N13" i="24"/>
  <c r="R12" i="24" s="1"/>
  <c r="N46" i="24"/>
  <c r="R42" i="24" s="1"/>
  <c r="N15" i="24"/>
  <c r="R14" i="24" s="1"/>
  <c r="N79" i="24"/>
  <c r="R72" i="24" s="1"/>
  <c r="N50" i="24"/>
  <c r="R46" i="24" s="1"/>
  <c r="N27" i="24"/>
  <c r="R25" i="24" s="1"/>
  <c r="N59" i="24"/>
  <c r="R54" i="24" s="1"/>
  <c r="N85" i="24"/>
  <c r="R78" i="24" s="1"/>
  <c r="N51" i="24"/>
  <c r="R47" i="24" s="1"/>
  <c r="N58" i="24"/>
  <c r="R53" i="24" s="1"/>
  <c r="N88" i="24"/>
  <c r="R81" i="24" s="1"/>
  <c r="N72" i="24"/>
  <c r="R66" i="24" s="1"/>
  <c r="N17" i="24"/>
  <c r="R16" i="24" s="1"/>
  <c r="N75" i="24"/>
  <c r="R69" i="24" s="1"/>
  <c r="N61" i="24"/>
  <c r="R56" i="24" s="1"/>
  <c r="R63" i="24"/>
  <c r="R2" i="24"/>
  <c r="R40" i="24"/>
  <c r="R85" i="24"/>
  <c r="R20" i="24"/>
  <c r="G4" i="14"/>
  <c r="K4" i="14" s="1"/>
  <c r="M22" i="24"/>
  <c r="N22" i="24" s="1"/>
  <c r="M55" i="24"/>
  <c r="N55" i="24" s="1"/>
  <c r="M66" i="24"/>
  <c r="N66" i="24" s="1"/>
  <c r="M11" i="24"/>
  <c r="N11" i="24" s="1"/>
  <c r="M44" i="24"/>
  <c r="N44" i="24" s="1"/>
  <c r="M77" i="24"/>
  <c r="N77" i="24" s="1"/>
  <c r="R61" i="24" l="1"/>
  <c r="R71" i="24"/>
  <c r="R21" i="24"/>
  <c r="R41" i="24"/>
  <c r="R11" i="24"/>
  <c r="R51" i="24"/>
  <c r="G4" i="13"/>
  <c r="K4" i="13" s="1"/>
  <c r="T59" i="24" l="1" a="1"/>
  <c r="T59" i="24" s="1"/>
  <c r="S48" i="24"/>
  <c r="V63" i="24" a="1"/>
  <c r="V63" i="24" s="1"/>
  <c r="S41" i="24"/>
  <c r="S66" i="24"/>
  <c r="V40" i="24" a="1"/>
  <c r="V40" i="24" s="1"/>
  <c r="S51" i="24"/>
  <c r="S4" i="24"/>
  <c r="S38" i="24"/>
  <c r="V3" i="24" a="1"/>
  <c r="V3" i="24" s="1"/>
  <c r="S73" i="24"/>
  <c r="S19" i="24"/>
  <c r="U24" i="24" a="1"/>
  <c r="U24" i="24" s="1"/>
  <c r="S85" i="24"/>
  <c r="S23" i="24"/>
  <c r="S55" i="24"/>
  <c r="T55" i="24" a="1"/>
  <c r="T55" i="24" s="1"/>
  <c r="U4" i="24" a="1"/>
  <c r="U4" i="24" s="1"/>
  <c r="T83" i="24" a="1"/>
  <c r="T83" i="24" s="1"/>
  <c r="T50" i="24" a="1"/>
  <c r="T50" i="24" s="1"/>
  <c r="T3" i="24" a="1"/>
  <c r="T3" i="24" s="1"/>
  <c r="V7" i="24" a="1"/>
  <c r="V7" i="24" s="1"/>
  <c r="V81" i="24" a="1"/>
  <c r="V81" i="24" s="1"/>
  <c r="V73" i="24" a="1"/>
  <c r="V73" i="24" s="1"/>
  <c r="T70" i="24" a="1"/>
  <c r="T70" i="24" s="1"/>
  <c r="V57" i="24" a="1"/>
  <c r="V57" i="24" s="1"/>
  <c r="U66" i="24" a="1"/>
  <c r="U66" i="24" s="1"/>
  <c r="V26" i="24" a="1"/>
  <c r="V26" i="24" s="1"/>
  <c r="T16" i="24" a="1"/>
  <c r="T16" i="24" s="1"/>
  <c r="U64" i="24" a="1"/>
  <c r="U64" i="24" s="1"/>
  <c r="T51" i="24" a="1"/>
  <c r="T51" i="24" s="1"/>
  <c r="T23" i="24" a="1"/>
  <c r="T23" i="24" s="1"/>
  <c r="U13" i="24" a="1"/>
  <c r="U13" i="24" s="1"/>
  <c r="U55" i="24" a="1"/>
  <c r="U55" i="24" s="1"/>
  <c r="U72" i="24" a="1"/>
  <c r="U72" i="24" s="1"/>
  <c r="V13" i="24" a="1"/>
  <c r="V13" i="24" s="1"/>
  <c r="V61" i="24" a="1"/>
  <c r="V61" i="24" s="1"/>
  <c r="U88" i="24" a="1"/>
  <c r="U88" i="24" s="1"/>
  <c r="T74" i="24" a="1"/>
  <c r="T74" i="24" s="1"/>
  <c r="T57" i="24" a="1"/>
  <c r="T57" i="24" s="1"/>
  <c r="S15" i="24"/>
  <c r="T76" i="24" a="1"/>
  <c r="T76" i="24" s="1"/>
  <c r="V65" i="24" a="1"/>
  <c r="V65" i="24" s="1"/>
  <c r="V51" i="24" a="1"/>
  <c r="V51" i="24" s="1"/>
  <c r="S70" i="24"/>
  <c r="V52" i="24" a="1"/>
  <c r="V52" i="24" s="1"/>
  <c r="V50" i="24" a="1"/>
  <c r="V50" i="24" s="1"/>
  <c r="S35" i="24"/>
  <c r="T60" i="24" a="1"/>
  <c r="T60" i="24" s="1"/>
  <c r="V78" i="24" a="1"/>
  <c r="V78" i="24" s="1"/>
  <c r="T5" i="24" a="1"/>
  <c r="T5" i="24" s="1"/>
  <c r="T38" i="24" a="1"/>
  <c r="T38" i="24" s="1"/>
  <c r="S22" i="24"/>
  <c r="S45" i="24"/>
  <c r="T88" i="24" a="1"/>
  <c r="T88" i="24" s="1"/>
  <c r="S68" i="24"/>
  <c r="T45" i="24" a="1"/>
  <c r="T45" i="24" s="1"/>
  <c r="U61" i="24" a="1"/>
  <c r="U61" i="24" s="1"/>
  <c r="V71" i="24" a="1"/>
  <c r="V71" i="24" s="1"/>
  <c r="S86" i="24"/>
  <c r="V83" i="24" a="1"/>
  <c r="V83" i="24" s="1"/>
  <c r="T34" i="24" a="1"/>
  <c r="T34" i="24" s="1"/>
  <c r="S52" i="24"/>
  <c r="T89" i="24" a="1"/>
  <c r="T89" i="24" s="1"/>
  <c r="U20" i="24" a="1"/>
  <c r="U20" i="24" s="1"/>
  <c r="U53" i="24" a="1"/>
  <c r="U53" i="24" s="1"/>
  <c r="U85" i="24" a="1"/>
  <c r="U85" i="24" s="1"/>
  <c r="V70" i="24" a="1"/>
  <c r="V70" i="24" s="1"/>
  <c r="V58" i="24" a="1"/>
  <c r="V58" i="24" s="1"/>
  <c r="T18" i="24" a="1"/>
  <c r="T18" i="24" s="1"/>
  <c r="T46" i="24" a="1"/>
  <c r="T46" i="24" s="1"/>
  <c r="U28" i="24" a="1"/>
  <c r="U28" i="24" s="1"/>
  <c r="V45" i="24" a="1"/>
  <c r="V45" i="24" s="1"/>
  <c r="V30" i="24" a="1"/>
  <c r="V30" i="24" s="1"/>
  <c r="V41" i="24" a="1"/>
  <c r="V41" i="24" s="1"/>
  <c r="V15" i="24" a="1"/>
  <c r="V15" i="24" s="1"/>
  <c r="T43" i="24" a="1"/>
  <c r="T43" i="24" s="1"/>
  <c r="U5" i="24" a="1"/>
  <c r="U5" i="24" s="1"/>
  <c r="T28" i="24" a="1"/>
  <c r="T28" i="24" s="1"/>
  <c r="T62" i="24" a="1"/>
  <c r="T62" i="24" s="1"/>
  <c r="V89" i="24" a="1"/>
  <c r="V89" i="24" s="1"/>
  <c r="V17" i="24" a="1"/>
  <c r="V17" i="24" s="1"/>
  <c r="V20" i="24" a="1"/>
  <c r="V20" i="24" s="1"/>
  <c r="U15" i="24" a="1"/>
  <c r="U15" i="24" s="1"/>
  <c r="V27" i="24" a="1"/>
  <c r="V27" i="24" s="1"/>
  <c r="V85" i="24" a="1"/>
  <c r="V85" i="24" s="1"/>
  <c r="V66" i="24" a="1"/>
  <c r="V66" i="24" s="1"/>
  <c r="T87" i="24" a="1"/>
  <c r="T87" i="24" s="1"/>
  <c r="S59" i="24"/>
  <c r="S74" i="24"/>
  <c r="V44" i="24" a="1"/>
  <c r="V44" i="24" s="1"/>
  <c r="T75" i="24" a="1"/>
  <c r="T75" i="24" s="1"/>
  <c r="V69" i="24" a="1"/>
  <c r="V69" i="24" s="1"/>
  <c r="T48" i="24" a="1"/>
  <c r="T48" i="24" s="1"/>
  <c r="S91" i="24"/>
  <c r="S44" i="24"/>
  <c r="U34" i="24" a="1"/>
  <c r="U34" i="24" s="1"/>
  <c r="U36" i="24" a="1"/>
  <c r="U36" i="24" s="1"/>
  <c r="U41" i="24" a="1"/>
  <c r="U41" i="24" s="1"/>
  <c r="V56" i="24" a="1"/>
  <c r="V56" i="24" s="1"/>
  <c r="T56" i="24" a="1"/>
  <c r="T56" i="24" s="1"/>
  <c r="S11" i="24"/>
  <c r="S13" i="24"/>
  <c r="V22" i="24" a="1"/>
  <c r="V22" i="24" s="1"/>
  <c r="V31" i="24" a="1"/>
  <c r="V31" i="24" s="1"/>
  <c r="T36" i="24" a="1"/>
  <c r="T36" i="24" s="1"/>
  <c r="T54" i="24" a="1"/>
  <c r="T54" i="24" s="1"/>
  <c r="T53" i="24" a="1"/>
  <c r="T53" i="24" s="1"/>
  <c r="S84" i="24"/>
  <c r="S36" i="24"/>
  <c r="T68" i="24" a="1"/>
  <c r="T68" i="24" s="1"/>
  <c r="T33" i="24" a="1"/>
  <c r="T33" i="24" s="1"/>
  <c r="U31" i="24" a="1"/>
  <c r="U31" i="24" s="1"/>
  <c r="U69" i="24" a="1"/>
  <c r="U69" i="24" s="1"/>
  <c r="U50" i="24" a="1"/>
  <c r="U50" i="24" s="1"/>
  <c r="S46" i="24"/>
  <c r="S81" i="24"/>
  <c r="T17" i="24" a="1"/>
  <c r="T17" i="24" s="1"/>
  <c r="S14" i="24"/>
  <c r="U67" i="24" a="1"/>
  <c r="U67" i="24" s="1"/>
  <c r="V76" i="24" a="1"/>
  <c r="V76" i="24" s="1"/>
  <c r="U8" i="24" a="1"/>
  <c r="U8" i="24" s="1"/>
  <c r="T11" i="24" a="1"/>
  <c r="T11" i="24" s="1"/>
  <c r="V12" i="24" a="1"/>
  <c r="V12" i="24" s="1"/>
  <c r="T81" i="24" a="1"/>
  <c r="T81" i="24" s="1"/>
  <c r="T64" i="24" a="1"/>
  <c r="T64" i="24" s="1"/>
  <c r="T77" i="24" a="1"/>
  <c r="T77" i="24" s="1"/>
  <c r="S24" i="24"/>
  <c r="S17" i="24"/>
  <c r="T52" i="24" a="1"/>
  <c r="T52" i="24" s="1"/>
  <c r="U21" i="24" a="1"/>
  <c r="U21" i="24" s="1"/>
  <c r="U59" i="24" a="1"/>
  <c r="U59" i="24" s="1"/>
  <c r="U65" i="24" a="1"/>
  <c r="U65" i="24" s="1"/>
  <c r="U89" i="24" a="1"/>
  <c r="U89" i="24" s="1"/>
  <c r="U46" i="24" a="1"/>
  <c r="U46" i="24" s="1"/>
  <c r="U32" i="24" a="1"/>
  <c r="U32" i="24" s="1"/>
  <c r="T2" i="24" a="1"/>
  <c r="T2" i="24" s="1"/>
  <c r="S21" i="24"/>
  <c r="S10" i="24"/>
  <c r="S39" i="24"/>
  <c r="U10" i="24" a="1"/>
  <c r="U10" i="24" s="1"/>
  <c r="V80" i="24" a="1"/>
  <c r="V80" i="24" s="1"/>
  <c r="U38" i="24" a="1"/>
  <c r="U38" i="24" s="1"/>
  <c r="T61" i="24" a="1"/>
  <c r="T61" i="24" s="1"/>
  <c r="U81" i="24" a="1"/>
  <c r="U81" i="24" s="1"/>
  <c r="V38" i="24" a="1"/>
  <c r="V38" i="24" s="1"/>
  <c r="U27" i="24" a="1"/>
  <c r="U27" i="24" s="1"/>
  <c r="U84" i="24" a="1"/>
  <c r="U84" i="24" s="1"/>
  <c r="S29" i="24"/>
  <c r="S30" i="24"/>
  <c r="T73" i="24" a="1"/>
  <c r="T73" i="24" s="1"/>
  <c r="V2" i="24" a="1"/>
  <c r="V2" i="24" s="1"/>
  <c r="T8" i="24" a="1"/>
  <c r="T8" i="24" s="1"/>
  <c r="U57" i="24" a="1"/>
  <c r="U57" i="24" s="1"/>
  <c r="U73" i="24" a="1"/>
  <c r="U73" i="24" s="1"/>
  <c r="U90" i="24" a="1"/>
  <c r="U90" i="24" s="1"/>
  <c r="U22" i="24" a="1"/>
  <c r="U22" i="24" s="1"/>
  <c r="U79" i="24" a="1"/>
  <c r="U79" i="24" s="1"/>
  <c r="S9" i="24"/>
  <c r="V87" i="24" a="1"/>
  <c r="V87" i="24" s="1"/>
  <c r="T82" i="24" a="1"/>
  <c r="T82" i="24" s="1"/>
  <c r="U74" i="24" a="1"/>
  <c r="U74" i="24" s="1"/>
  <c r="S31" i="24"/>
  <c r="S89" i="24"/>
  <c r="S5" i="24"/>
  <c r="V46" i="24" a="1"/>
  <c r="V46" i="24" s="1"/>
  <c r="V42" i="24" a="1"/>
  <c r="V42" i="24" s="1"/>
  <c r="U70" i="24" a="1"/>
  <c r="U70" i="24" s="1"/>
  <c r="V48" i="24" a="1"/>
  <c r="V48" i="24" s="1"/>
  <c r="T37" i="24" a="1"/>
  <c r="T37" i="24" s="1"/>
  <c r="U82" i="24" a="1"/>
  <c r="U82" i="24" s="1"/>
  <c r="V53" i="24" a="1"/>
  <c r="V53" i="24" s="1"/>
  <c r="S80" i="24"/>
  <c r="V67" i="24" a="1"/>
  <c r="V67" i="24" s="1"/>
  <c r="T67" i="24" a="1"/>
  <c r="T67" i="24" s="1"/>
  <c r="V68" i="24" a="1"/>
  <c r="V68" i="24" s="1"/>
  <c r="V79" i="24" a="1"/>
  <c r="V79" i="24" s="1"/>
  <c r="U47" i="24" a="1"/>
  <c r="U47" i="24" s="1"/>
  <c r="U83" i="24" a="1"/>
  <c r="U83" i="24" s="1"/>
  <c r="U80" i="24" a="1"/>
  <c r="U80" i="24" s="1"/>
  <c r="V37" i="24" a="1"/>
  <c r="V37" i="24" s="1"/>
  <c r="S76" i="24"/>
  <c r="S12" i="24"/>
  <c r="S77" i="24"/>
  <c r="S28" i="24"/>
  <c r="T26" i="24" a="1"/>
  <c r="T26" i="24" s="1"/>
  <c r="V21" i="24" a="1"/>
  <c r="V21" i="24" s="1"/>
  <c r="V62" i="24" a="1"/>
  <c r="V62" i="24" s="1"/>
  <c r="V86" i="24" a="1"/>
  <c r="V86" i="24" s="1"/>
  <c r="T12" i="24" a="1"/>
  <c r="T12" i="24" s="1"/>
  <c r="T86" i="24" a="1"/>
  <c r="T86" i="24" s="1"/>
  <c r="U52" i="24" a="1"/>
  <c r="U52" i="24" s="1"/>
  <c r="U75" i="24" a="1"/>
  <c r="U75" i="24" s="1"/>
  <c r="T35" i="24" a="1"/>
  <c r="T35" i="24" s="1"/>
  <c r="T72" i="24" a="1"/>
  <c r="T72" i="24" s="1"/>
  <c r="V34" i="24" a="1"/>
  <c r="V34" i="24" s="1"/>
  <c r="S65" i="24"/>
  <c r="V72" i="24" a="1"/>
  <c r="V72" i="24" s="1"/>
  <c r="V33" i="24" a="1"/>
  <c r="V33" i="24" s="1"/>
  <c r="T6" i="24" a="1"/>
  <c r="T6" i="24" s="1"/>
  <c r="U40" i="24" a="1"/>
  <c r="U40" i="24" s="1"/>
  <c r="S34" i="24"/>
  <c r="S27" i="24"/>
  <c r="S62" i="24"/>
  <c r="S47" i="24"/>
  <c r="S26" i="24"/>
  <c r="T79" i="24" a="1"/>
  <c r="T79" i="24" s="1"/>
  <c r="V90" i="24" a="1"/>
  <c r="V90" i="24" s="1"/>
  <c r="V74" i="24" a="1"/>
  <c r="V74" i="24" s="1"/>
  <c r="T85" i="24" a="1"/>
  <c r="T85" i="24" s="1"/>
  <c r="V9" i="24" a="1"/>
  <c r="V9" i="24" s="1"/>
  <c r="U58" i="24" a="1"/>
  <c r="U58" i="24" s="1"/>
  <c r="U49" i="24" a="1"/>
  <c r="U49" i="24" s="1"/>
  <c r="T49" i="24" a="1"/>
  <c r="T49" i="24" s="1"/>
  <c r="T78" i="24" a="1"/>
  <c r="T78" i="24" s="1"/>
  <c r="V14" i="24" a="1"/>
  <c r="V14" i="24" s="1"/>
  <c r="V64" i="24" a="1"/>
  <c r="V64" i="24" s="1"/>
  <c r="T30" i="24" a="1"/>
  <c r="T30" i="24" s="1"/>
  <c r="T69" i="24" a="1"/>
  <c r="T69" i="24" s="1"/>
  <c r="T32" i="24" a="1"/>
  <c r="T32" i="24" s="1"/>
  <c r="S25" i="24"/>
  <c r="S72" i="24"/>
  <c r="S3" i="24"/>
  <c r="S90" i="24"/>
  <c r="U71" i="24" a="1"/>
  <c r="U71" i="24" s="1"/>
  <c r="V82" i="24" a="1"/>
  <c r="V82" i="24" s="1"/>
  <c r="U48" i="24" a="1"/>
  <c r="U48" i="24" s="1"/>
  <c r="U42" i="24" a="1"/>
  <c r="U42" i="24" s="1"/>
  <c r="T29" i="24" a="1"/>
  <c r="T29" i="24" s="1"/>
  <c r="V60" i="24" a="1"/>
  <c r="V60" i="24" s="1"/>
  <c r="U43" i="24" a="1"/>
  <c r="U43" i="24" s="1"/>
  <c r="S83" i="24"/>
  <c r="S6" i="24"/>
  <c r="S56" i="24"/>
  <c r="S64" i="24"/>
  <c r="U51" i="24" a="1"/>
  <c r="U51" i="24" s="1"/>
  <c r="U2" i="24" a="1"/>
  <c r="U2" i="24" s="1"/>
  <c r="V54" i="24" a="1"/>
  <c r="V54" i="24" s="1"/>
  <c r="V32" i="24" a="1"/>
  <c r="V32" i="24" s="1"/>
  <c r="T20" i="24" a="1"/>
  <c r="T20" i="24" s="1"/>
  <c r="T65" i="24" a="1"/>
  <c r="T65" i="24" s="1"/>
  <c r="V10" i="24" a="1"/>
  <c r="V10" i="24" s="1"/>
  <c r="V59" i="24" a="1"/>
  <c r="V59" i="24" s="1"/>
  <c r="U77" i="24" a="1"/>
  <c r="U77" i="24" s="1"/>
  <c r="U56" i="24" a="1"/>
  <c r="U56" i="24" s="1"/>
  <c r="V29" i="24" a="1"/>
  <c r="V29" i="24" s="1"/>
  <c r="S8" i="24"/>
  <c r="S20" i="24"/>
  <c r="S54" i="24"/>
  <c r="S79" i="24"/>
  <c r="S60" i="24"/>
  <c r="U76" i="24" a="1"/>
  <c r="U76" i="24" s="1"/>
  <c r="T66" i="24" a="1"/>
  <c r="T66" i="24" s="1"/>
  <c r="U44" i="24" a="1"/>
  <c r="U44" i="24" s="1"/>
  <c r="V47" i="24" a="1"/>
  <c r="V47" i="24" s="1"/>
  <c r="U19" i="24" a="1"/>
  <c r="U19" i="24" s="1"/>
  <c r="T27" i="24" a="1"/>
  <c r="T27" i="24" s="1"/>
  <c r="T40" i="24" a="1"/>
  <c r="T40" i="24" s="1"/>
  <c r="U60" i="24" a="1"/>
  <c r="U60" i="24" s="1"/>
  <c r="U12" i="24" a="1"/>
  <c r="U12" i="24" s="1"/>
  <c r="V24" i="24" a="1"/>
  <c r="V24" i="24" s="1"/>
  <c r="U37" i="24" a="1"/>
  <c r="U37" i="24" s="1"/>
  <c r="S57" i="24"/>
  <c r="S18" i="24"/>
  <c r="S16" i="24"/>
  <c r="S42" i="24"/>
  <c r="S58" i="24"/>
  <c r="U68" i="24" a="1"/>
  <c r="U68" i="24" s="1"/>
  <c r="U63" i="24" a="1"/>
  <c r="U63" i="24" s="1"/>
  <c r="U29" i="24" a="1"/>
  <c r="U29" i="24" s="1"/>
  <c r="V25" i="24" a="1"/>
  <c r="V25" i="24" s="1"/>
  <c r="U54" i="24" a="1"/>
  <c r="U54" i="24" s="1"/>
  <c r="T91" i="24" a="1"/>
  <c r="T91" i="24" s="1"/>
  <c r="U91" i="24" a="1"/>
  <c r="U91" i="24" s="1"/>
  <c r="V23" i="24" a="1"/>
  <c r="V23" i="24" s="1"/>
  <c r="T7" i="24" a="1"/>
  <c r="T7" i="24" s="1"/>
  <c r="V39" i="24" a="1"/>
  <c r="V39" i="24" s="1"/>
  <c r="U39" i="24" a="1"/>
  <c r="U39" i="24" s="1"/>
  <c r="T10" i="24" a="1"/>
  <c r="T10" i="24" s="1"/>
  <c r="U14" i="24" a="1"/>
  <c r="U14" i="24" s="1"/>
  <c r="U9" i="24" a="1"/>
  <c r="U9" i="24" s="1"/>
  <c r="V11" i="24" a="1"/>
  <c r="V11" i="24" s="1"/>
  <c r="T22" i="24" a="1"/>
  <c r="T22" i="24" s="1"/>
  <c r="U11" i="24" a="1"/>
  <c r="U11" i="24" s="1"/>
  <c r="S37" i="24"/>
  <c r="S50" i="24"/>
  <c r="S40" i="24"/>
  <c r="V55" i="24" a="1"/>
  <c r="V55" i="24" s="1"/>
  <c r="T41" i="24" a="1"/>
  <c r="T41" i="24" s="1"/>
  <c r="U23" i="24" a="1"/>
  <c r="U23" i="24" s="1"/>
  <c r="U17" i="24" a="1"/>
  <c r="U17" i="24" s="1"/>
  <c r="T19" i="24" a="1"/>
  <c r="T19" i="24" s="1"/>
  <c r="V5" i="24" a="1"/>
  <c r="V5" i="24" s="1"/>
  <c r="T80" i="24" a="1"/>
  <c r="T80" i="24" s="1"/>
  <c r="T58" i="24" a="1"/>
  <c r="T58" i="24" s="1"/>
  <c r="T24" i="24" a="1"/>
  <c r="T24" i="24" s="1"/>
  <c r="T15" i="24" a="1"/>
  <c r="T15" i="24" s="1"/>
  <c r="V19" i="24" a="1"/>
  <c r="V19" i="24" s="1"/>
  <c r="V43" i="24" a="1"/>
  <c r="V43" i="24" s="1"/>
  <c r="T84" i="24" a="1"/>
  <c r="T84" i="24" s="1"/>
  <c r="V88" i="24" a="1"/>
  <c r="V88" i="24" s="1"/>
  <c r="T71" i="24" a="1"/>
  <c r="T71" i="24" s="1"/>
  <c r="V49" i="24" a="1"/>
  <c r="V49" i="24" s="1"/>
  <c r="U86" i="24" a="1"/>
  <c r="U86" i="24" s="1"/>
  <c r="U62" i="24" a="1"/>
  <c r="U62" i="24" s="1"/>
  <c r="V18" i="24" a="1"/>
  <c r="V18" i="24" s="1"/>
  <c r="V8" i="24" a="1"/>
  <c r="V8" i="24" s="1"/>
  <c r="V35" i="24" a="1"/>
  <c r="V35" i="24" s="1"/>
  <c r="U35" i="24" a="1"/>
  <c r="U35" i="24" s="1"/>
  <c r="U7" i="24" a="1"/>
  <c r="U7" i="24" s="1"/>
  <c r="T90" i="24" a="1"/>
  <c r="T90" i="24" s="1"/>
  <c r="T4" i="24" a="1"/>
  <c r="T4" i="24" s="1"/>
  <c r="V6" i="24" a="1"/>
  <c r="V6" i="24" s="1"/>
  <c r="U16" i="24" a="1"/>
  <c r="U16" i="24" s="1"/>
  <c r="U6" i="24" a="1"/>
  <c r="U6" i="24" s="1"/>
  <c r="S75" i="24"/>
  <c r="S32" i="24"/>
  <c r="T39" i="24" a="1"/>
  <c r="T39" i="24" s="1"/>
  <c r="T47" i="24" a="1"/>
  <c r="T47" i="24" s="1"/>
  <c r="U25" i="24" a="1"/>
  <c r="U25" i="24" s="1"/>
  <c r="V77" i="24" a="1"/>
  <c r="V77" i="24" s="1"/>
  <c r="T25" i="24" a="1"/>
  <c r="T25" i="24" s="1"/>
  <c r="U45" i="24" a="1"/>
  <c r="U45" i="24" s="1"/>
  <c r="S67" i="24"/>
  <c r="S87" i="24"/>
  <c r="S49" i="24"/>
  <c r="S82" i="24"/>
  <c r="S33" i="24"/>
  <c r="T13" i="24" a="1"/>
  <c r="T13" i="24" s="1"/>
  <c r="T21" i="24" a="1"/>
  <c r="T21" i="24" s="1"/>
  <c r="V91" i="24" a="1"/>
  <c r="V91" i="24" s="1"/>
  <c r="T44" i="24" a="1"/>
  <c r="T44" i="24" s="1"/>
  <c r="V16" i="24" a="1"/>
  <c r="V16" i="24" s="1"/>
  <c r="T14" i="24" a="1"/>
  <c r="T14" i="24" s="1"/>
  <c r="S71" i="24"/>
  <c r="S69" i="24"/>
  <c r="S7" i="24"/>
  <c r="S53" i="24"/>
  <c r="S43" i="24"/>
  <c r="S63" i="24"/>
  <c r="U30" i="24" a="1"/>
  <c r="U30" i="24" s="1"/>
  <c r="T63" i="24" a="1"/>
  <c r="T63" i="24" s="1"/>
  <c r="U26" i="24" a="1"/>
  <c r="U26" i="24" s="1"/>
  <c r="U33" i="24" a="1"/>
  <c r="U33" i="24" s="1"/>
  <c r="V28" i="24" a="1"/>
  <c r="V28" i="24" s="1"/>
  <c r="U78" i="24" a="1"/>
  <c r="U78" i="24" s="1"/>
  <c r="V36" i="24" a="1"/>
  <c r="V36" i="24" s="1"/>
  <c r="T42" i="24" a="1"/>
  <c r="T42" i="24" s="1"/>
  <c r="V75" i="24" a="1"/>
  <c r="V75" i="24" s="1"/>
  <c r="U18" i="24" a="1"/>
  <c r="U18" i="24" s="1"/>
  <c r="T31" i="24" a="1"/>
  <c r="T31" i="24" s="1"/>
  <c r="V4" i="24" a="1"/>
  <c r="V4" i="24" s="1"/>
  <c r="U87" i="24" a="1"/>
  <c r="U87" i="24" s="1"/>
  <c r="V84" i="24" a="1"/>
  <c r="V84" i="24" s="1"/>
  <c r="S2" i="24"/>
  <c r="T9" i="24" a="1"/>
  <c r="T9" i="24" s="1"/>
  <c r="U3" i="24" a="1"/>
  <c r="U3" i="24" s="1"/>
  <c r="S78" i="24"/>
  <c r="S88" i="24"/>
  <c r="S61" i="24"/>
  <c r="G4" i="12"/>
  <c r="K4" i="12" s="1"/>
  <c r="O16" i="24" l="1"/>
  <c r="O53" i="24"/>
  <c r="O52" i="24"/>
  <c r="O71" i="24"/>
  <c r="O13" i="24"/>
  <c r="O46" i="24"/>
  <c r="O83" i="24"/>
  <c r="O55" i="24"/>
  <c r="O2" i="24"/>
  <c r="O66" i="24"/>
  <c r="O45" i="24"/>
  <c r="O3" i="24"/>
  <c r="O11" i="24"/>
  <c r="O76" i="24"/>
  <c r="O51" i="24"/>
  <c r="O29" i="24"/>
  <c r="O73" i="24"/>
  <c r="O41" i="24"/>
  <c r="O38" i="24"/>
  <c r="O48" i="24"/>
  <c r="O32" i="24"/>
  <c r="O23" i="24"/>
  <c r="O89" i="24"/>
  <c r="O81" i="24"/>
  <c r="O42" i="24"/>
  <c r="O20" i="24"/>
  <c r="O70" i="24"/>
  <c r="O34" i="24"/>
  <c r="O50" i="24"/>
  <c r="O30" i="24"/>
  <c r="O85" i="24"/>
  <c r="O17" i="24"/>
  <c r="O86" i="24"/>
  <c r="O56" i="24"/>
  <c r="O27" i="24"/>
  <c r="O24" i="24"/>
  <c r="O82" i="24"/>
  <c r="O80" i="24"/>
  <c r="O39" i="24"/>
  <c r="O74" i="24"/>
  <c r="O79" i="24"/>
  <c r="O15" i="24"/>
  <c r="O40" i="24"/>
  <c r="O28" i="24"/>
  <c r="O90" i="24"/>
  <c r="O49" i="24"/>
  <c r="O87" i="24"/>
  <c r="O35" i="24"/>
  <c r="O5" i="24"/>
  <c r="O65" i="24"/>
  <c r="O31" i="24"/>
  <c r="O68" i="24"/>
  <c r="O61" i="24"/>
  <c r="O63" i="24"/>
  <c r="O67" i="24"/>
  <c r="O84" i="24"/>
  <c r="O36" i="24"/>
  <c r="O22" i="24"/>
  <c r="O64" i="24"/>
  <c r="O54" i="24"/>
  <c r="O6" i="24"/>
  <c r="O4" i="24"/>
  <c r="O18" i="24"/>
  <c r="O88" i="24"/>
  <c r="O10" i="24"/>
  <c r="O57" i="24"/>
  <c r="O8" i="24"/>
  <c r="O59" i="24"/>
  <c r="O72" i="24"/>
  <c r="O21" i="24"/>
  <c r="O26" i="24"/>
  <c r="O14" i="24"/>
  <c r="O75" i="24"/>
  <c r="O37" i="24"/>
  <c r="O78" i="24"/>
  <c r="O9" i="24"/>
  <c r="O43" i="24"/>
  <c r="O77" i="24"/>
  <c r="O69" i="24"/>
  <c r="O25" i="24"/>
  <c r="O19" i="24"/>
  <c r="O33" i="24"/>
  <c r="O58" i="24"/>
  <c r="O12" i="24"/>
  <c r="O60" i="24"/>
  <c r="O62" i="24"/>
  <c r="O47" i="24"/>
  <c r="O7" i="24"/>
  <c r="O91" i="24"/>
  <c r="O44" i="24"/>
  <c r="G4" i="11"/>
  <c r="K4" i="11" s="1"/>
  <c r="X31" i="24" l="1"/>
  <c r="B33" i="25" s="1"/>
  <c r="Z31" i="24"/>
  <c r="D33" i="25" s="1"/>
  <c r="Y31" i="24"/>
  <c r="C33" i="25" s="1"/>
  <c r="Y30" i="24"/>
  <c r="C32" i="25" s="1"/>
  <c r="X30" i="24"/>
  <c r="B32" i="25" s="1"/>
  <c r="Z30" i="24"/>
  <c r="D32" i="25" s="1"/>
  <c r="X67" i="24"/>
  <c r="B69" i="25" s="1"/>
  <c r="X28" i="24"/>
  <c r="B30" i="25" s="1"/>
  <c r="Y15" i="24"/>
  <c r="C17" i="25" s="1"/>
  <c r="Y54" i="24"/>
  <c r="C56" i="25" s="1"/>
  <c r="X20" i="24"/>
  <c r="B22" i="25" s="1"/>
  <c r="X42" i="24"/>
  <c r="B44" i="25" s="1"/>
  <c r="X34" i="24"/>
  <c r="B36" i="25" s="1"/>
  <c r="X12" i="24"/>
  <c r="B14" i="25" s="1"/>
  <c r="X25" i="24"/>
  <c r="B27" i="25" s="1"/>
  <c r="Z25" i="24"/>
  <c r="D27" i="25" s="1"/>
  <c r="Z23" i="24"/>
  <c r="D25" i="25" s="1"/>
  <c r="X70" i="24"/>
  <c r="B72" i="25" s="1"/>
  <c r="X4" i="24"/>
  <c r="B6" i="25" s="1"/>
  <c r="Y66" i="24"/>
  <c r="C68" i="25" s="1"/>
  <c r="X5" i="24"/>
  <c r="B7" i="25" s="1"/>
  <c r="Z12" i="24"/>
  <c r="D14" i="25" s="1"/>
  <c r="Y87" i="24"/>
  <c r="C89" i="25" s="1"/>
  <c r="Z40" i="24"/>
  <c r="D42" i="25" s="1"/>
  <c r="X61" i="24"/>
  <c r="B63" i="25" s="1"/>
  <c r="Z24" i="24"/>
  <c r="D26" i="25" s="1"/>
  <c r="X29" i="24"/>
  <c r="B31" i="25" s="1"/>
  <c r="Z28" i="24"/>
  <c r="D30" i="25" s="1"/>
  <c r="Z55" i="24"/>
  <c r="D57" i="25" s="1"/>
  <c r="Y88" i="24"/>
  <c r="C90" i="25" s="1"/>
  <c r="Y58" i="24"/>
  <c r="C60" i="25" s="1"/>
  <c r="X27" i="24"/>
  <c r="B29" i="25" s="1"/>
  <c r="Y50" i="24"/>
  <c r="C52" i="25" s="1"/>
  <c r="Y23" i="24"/>
  <c r="C25" i="25" s="1"/>
  <c r="Y42" i="24"/>
  <c r="C44" i="25" s="1"/>
  <c r="Z21" i="24"/>
  <c r="D23" i="25" s="1"/>
  <c r="Y26" i="24"/>
  <c r="C28" i="25" s="1"/>
  <c r="X73" i="24"/>
  <c r="B75" i="25" s="1"/>
  <c r="Y28" i="24"/>
  <c r="C30" i="25" s="1"/>
  <c r="X50" i="24"/>
  <c r="B52" i="25" s="1"/>
  <c r="Z39" i="24"/>
  <c r="D41" i="25" s="1"/>
  <c r="X48" i="24"/>
  <c r="B50" i="25" s="1"/>
  <c r="Z47" i="24"/>
  <c r="D49" i="25" s="1"/>
  <c r="Y22" i="24"/>
  <c r="C24" i="25" s="1"/>
  <c r="Y37" i="24"/>
  <c r="C39" i="25" s="1"/>
  <c r="Y25" i="24"/>
  <c r="C27" i="25" s="1"/>
  <c r="Y77" i="24"/>
  <c r="C79" i="25" s="1"/>
  <c r="Y29" i="24"/>
  <c r="C31" i="25" s="1"/>
  <c r="Z26" i="24"/>
  <c r="D28" i="25" s="1"/>
  <c r="Z18" i="24"/>
  <c r="D20" i="25" s="1"/>
  <c r="X45" i="24"/>
  <c r="B47" i="25" s="1"/>
  <c r="X26" i="24"/>
  <c r="B28" i="25" s="1"/>
  <c r="X2" i="24"/>
  <c r="B4" i="25" s="1"/>
  <c r="Z27" i="24"/>
  <c r="D29" i="25" s="1"/>
  <c r="Y73" i="24"/>
  <c r="C75" i="25" s="1"/>
  <c r="X13" i="24"/>
  <c r="B15" i="25" s="1"/>
  <c r="Y47" i="24"/>
  <c r="C49" i="25" s="1"/>
  <c r="Y75" i="24"/>
  <c r="C77" i="25" s="1"/>
  <c r="X81" i="24"/>
  <c r="B83" i="25" s="1"/>
  <c r="Z29" i="24"/>
  <c r="D31" i="25" s="1"/>
  <c r="Z38" i="24"/>
  <c r="D40" i="25" s="1"/>
  <c r="Y27" i="24"/>
  <c r="C29" i="25" s="1"/>
  <c r="X76" i="24"/>
  <c r="B78" i="25" s="1"/>
  <c r="Y67" i="24"/>
  <c r="C69" i="25" s="1"/>
  <c r="Z65" i="24"/>
  <c r="D67" i="25" s="1"/>
  <c r="X69" i="24"/>
  <c r="B71" i="25" s="1"/>
  <c r="Y63" i="24"/>
  <c r="C65" i="25" s="1"/>
  <c r="Y62" i="24"/>
  <c r="C64" i="25" s="1"/>
  <c r="Z6" i="24"/>
  <c r="D8" i="25" s="1"/>
  <c r="Y14" i="24"/>
  <c r="C16" i="25" s="1"/>
  <c r="Z44" i="24"/>
  <c r="D46" i="25" s="1"/>
  <c r="Z90" i="24"/>
  <c r="D92" i="25" s="1"/>
  <c r="Y32" i="24"/>
  <c r="C34" i="25" s="1"/>
  <c r="X52" i="24"/>
  <c r="B54" i="25" s="1"/>
  <c r="Z86" i="24"/>
  <c r="D88" i="25" s="1"/>
  <c r="Z89" i="24"/>
  <c r="D91" i="25" s="1"/>
  <c r="X32" i="24"/>
  <c r="B34" i="25" s="1"/>
  <c r="Z85" i="24"/>
  <c r="D87" i="25" s="1"/>
  <c r="Y55" i="24"/>
  <c r="C57" i="25" s="1"/>
  <c r="X53" i="24"/>
  <c r="B55" i="25" s="1"/>
  <c r="X21" i="24"/>
  <c r="B23" i="25" s="1"/>
  <c r="X15" i="24"/>
  <c r="B17" i="25" s="1"/>
  <c r="Z62" i="24"/>
  <c r="D64" i="25" s="1"/>
  <c r="Z11" i="24"/>
  <c r="D13" i="25" s="1"/>
  <c r="Z73" i="24"/>
  <c r="D75" i="25" s="1"/>
  <c r="X24" i="24"/>
  <c r="B26" i="25" s="1"/>
  <c r="X44" i="24"/>
  <c r="B46" i="25" s="1"/>
  <c r="X84" i="24"/>
  <c r="B86" i="25" s="1"/>
  <c r="X22" i="24"/>
  <c r="B24" i="25" s="1"/>
  <c r="Y76" i="24"/>
  <c r="C78" i="25" s="1"/>
  <c r="X75" i="24"/>
  <c r="B77" i="25" s="1"/>
  <c r="Z33" i="24"/>
  <c r="D35" i="25" s="1"/>
  <c r="Z46" i="24"/>
  <c r="D48" i="25" s="1"/>
  <c r="Y82" i="24"/>
  <c r="C84" i="25" s="1"/>
  <c r="Z57" i="24"/>
  <c r="D59" i="25" s="1"/>
  <c r="X16" i="24"/>
  <c r="B18" i="25" s="1"/>
  <c r="Z84" i="24"/>
  <c r="D86" i="25" s="1"/>
  <c r="Z22" i="24"/>
  <c r="D24" i="25" s="1"/>
  <c r="Z80" i="24"/>
  <c r="D82" i="25" s="1"/>
  <c r="Y61" i="24"/>
  <c r="C63" i="25" s="1"/>
  <c r="Y60" i="24"/>
  <c r="C62" i="25" s="1"/>
  <c r="Z64" i="24"/>
  <c r="D66" i="25" s="1"/>
  <c r="Z3" i="24"/>
  <c r="D5" i="25" s="1"/>
  <c r="X74" i="24"/>
  <c r="B76" i="25" s="1"/>
  <c r="Y34" i="24"/>
  <c r="C36" i="25" s="1"/>
  <c r="Z41" i="24"/>
  <c r="D43" i="25" s="1"/>
  <c r="Z88" i="24"/>
  <c r="D90" i="25" s="1"/>
  <c r="X8" i="24"/>
  <c r="B10" i="25" s="1"/>
  <c r="X14" i="24"/>
  <c r="B16" i="25" s="1"/>
  <c r="Z61" i="24"/>
  <c r="D63" i="25" s="1"/>
  <c r="Y12" i="24"/>
  <c r="C14" i="25" s="1"/>
  <c r="Z77" i="24"/>
  <c r="D79" i="25" s="1"/>
  <c r="X79" i="24"/>
  <c r="B81" i="25" s="1"/>
  <c r="Y46" i="24"/>
  <c r="C48" i="25" s="1"/>
  <c r="X35" i="24"/>
  <c r="B37" i="25" s="1"/>
  <c r="Y45" i="24"/>
  <c r="C47" i="25" s="1"/>
  <c r="Z34" i="24"/>
  <c r="D36" i="25" s="1"/>
  <c r="Y91" i="24"/>
  <c r="C93" i="25" s="1"/>
  <c r="Z14" i="24"/>
  <c r="D16" i="25" s="1"/>
  <c r="X66" i="24"/>
  <c r="B68" i="25" s="1"/>
  <c r="Y89" i="24"/>
  <c r="C91" i="25" s="1"/>
  <c r="Z10" i="24"/>
  <c r="D12" i="25" s="1"/>
  <c r="Z72" i="24"/>
  <c r="D74" i="25" s="1"/>
  <c r="Z87" i="24"/>
  <c r="D89" i="25" s="1"/>
  <c r="X85" i="24"/>
  <c r="B87" i="25" s="1"/>
  <c r="Z52" i="24"/>
  <c r="D54" i="25" s="1"/>
  <c r="Z53" i="24"/>
  <c r="D55" i="25" s="1"/>
  <c r="Y3" i="24"/>
  <c r="C5" i="25" s="1"/>
  <c r="Z43" i="24"/>
  <c r="D45" i="25" s="1"/>
  <c r="X9" i="24"/>
  <c r="B11" i="25" s="1"/>
  <c r="X40" i="24"/>
  <c r="B42" i="25" s="1"/>
  <c r="Y53" i="24"/>
  <c r="C55" i="25" s="1"/>
  <c r="Z32" i="24"/>
  <c r="D34" i="25" s="1"/>
  <c r="Y68" i="24"/>
  <c r="C70" i="25" s="1"/>
  <c r="Z17" i="24"/>
  <c r="D19" i="25" s="1"/>
  <c r="Z15" i="24"/>
  <c r="D17" i="25" s="1"/>
  <c r="X36" i="24"/>
  <c r="B38" i="25" s="1"/>
  <c r="Z69" i="24"/>
  <c r="D71" i="25" s="1"/>
  <c r="Z78" i="24"/>
  <c r="D80" i="25" s="1"/>
  <c r="Z74" i="24"/>
  <c r="D76" i="25" s="1"/>
  <c r="Y24" i="24"/>
  <c r="C26" i="25" s="1"/>
  <c r="Z83" i="24"/>
  <c r="D85" i="25" s="1"/>
  <c r="X37" i="24"/>
  <c r="B39" i="25" s="1"/>
  <c r="Y90" i="24"/>
  <c r="C92" i="25" s="1"/>
  <c r="X87" i="24"/>
  <c r="B89" i="25" s="1"/>
  <c r="Z63" i="24"/>
  <c r="D65" i="25" s="1"/>
  <c r="X90" i="24"/>
  <c r="B92" i="25" s="1"/>
  <c r="Z58" i="24"/>
  <c r="D60" i="25" s="1"/>
  <c r="Y16" i="24"/>
  <c r="C18" i="25" s="1"/>
  <c r="X55" i="24"/>
  <c r="B57" i="25" s="1"/>
  <c r="X23" i="24"/>
  <c r="B25" i="25" s="1"/>
  <c r="Z45" i="24"/>
  <c r="D47" i="25" s="1"/>
  <c r="X3" i="24"/>
  <c r="B5" i="25" s="1"/>
  <c r="X82" i="24"/>
  <c r="B84" i="25" s="1"/>
  <c r="Z42" i="24"/>
  <c r="D44" i="25" s="1"/>
  <c r="Y8" i="24"/>
  <c r="C10" i="25" s="1"/>
  <c r="Y38" i="24"/>
  <c r="C40" i="25" s="1"/>
  <c r="X7" i="24"/>
  <c r="B9" i="25" s="1"/>
  <c r="X77" i="24"/>
  <c r="B79" i="25" s="1"/>
  <c r="X43" i="24"/>
  <c r="B45" i="25" s="1"/>
  <c r="Z48" i="24"/>
  <c r="D50" i="25" s="1"/>
  <c r="Y52" i="24"/>
  <c r="C54" i="25" s="1"/>
  <c r="Z68" i="24"/>
  <c r="D70" i="25" s="1"/>
  <c r="Z4" i="24"/>
  <c r="D6" i="25" s="1"/>
  <c r="Y83" i="24"/>
  <c r="C85" i="25" s="1"/>
  <c r="Y74" i="24"/>
  <c r="C76" i="25" s="1"/>
  <c r="X58" i="24"/>
  <c r="B60" i="25" s="1"/>
  <c r="Y81" i="24"/>
  <c r="C83" i="25" s="1"/>
  <c r="X89" i="24"/>
  <c r="B91" i="25" s="1"/>
  <c r="Z9" i="24"/>
  <c r="D11" i="25" s="1"/>
  <c r="Z56" i="24"/>
  <c r="D58" i="25" s="1"/>
  <c r="Z71" i="24"/>
  <c r="D73" i="25" s="1"/>
  <c r="Y65" i="24"/>
  <c r="C67" i="25" s="1"/>
  <c r="X54" i="24"/>
  <c r="B56" i="25" s="1"/>
  <c r="X78" i="24"/>
  <c r="B80" i="25" s="1"/>
  <c r="Z67" i="24"/>
  <c r="D69" i="25" s="1"/>
  <c r="Y7" i="24"/>
  <c r="C9" i="25" s="1"/>
  <c r="Y59" i="24"/>
  <c r="C61" i="25" s="1"/>
  <c r="X65" i="24"/>
  <c r="B67" i="25" s="1"/>
  <c r="Z8" i="24"/>
  <c r="D10" i="25" s="1"/>
  <c r="X83" i="24"/>
  <c r="B85" i="25" s="1"/>
  <c r="X63" i="24"/>
  <c r="B65" i="25" s="1"/>
  <c r="Z37" i="24"/>
  <c r="D39" i="25" s="1"/>
  <c r="X46" i="24"/>
  <c r="B48" i="25" s="1"/>
  <c r="Z16" i="24"/>
  <c r="D18" i="25" s="1"/>
  <c r="Y51" i="24"/>
  <c r="C53" i="25" s="1"/>
  <c r="X57" i="24"/>
  <c r="B59" i="25" s="1"/>
  <c r="Z7" i="24"/>
  <c r="D9" i="25" s="1"/>
  <c r="X51" i="24"/>
  <c r="B53" i="25" s="1"/>
  <c r="X91" i="24"/>
  <c r="B93" i="25" s="1"/>
  <c r="Z13" i="24"/>
  <c r="D15" i="25" s="1"/>
  <c r="Z5" i="24"/>
  <c r="D7" i="25" s="1"/>
  <c r="Y43" i="24"/>
  <c r="C45" i="25" s="1"/>
  <c r="X18" i="24"/>
  <c r="B20" i="25" s="1"/>
  <c r="Y41" i="24"/>
  <c r="C43" i="25" s="1"/>
  <c r="X49" i="24"/>
  <c r="B51" i="25" s="1"/>
  <c r="X80" i="24"/>
  <c r="B82" i="25" s="1"/>
  <c r="Y84" i="24"/>
  <c r="C86" i="25" s="1"/>
  <c r="Z54" i="24"/>
  <c r="D56" i="25" s="1"/>
  <c r="X11" i="24"/>
  <c r="B13" i="25" s="1"/>
  <c r="Y36" i="24"/>
  <c r="C38" i="25" s="1"/>
  <c r="X62" i="24"/>
  <c r="B64" i="25" s="1"/>
  <c r="X68" i="24"/>
  <c r="B70" i="25" s="1"/>
  <c r="X19" i="24"/>
  <c r="B21" i="25" s="1"/>
  <c r="Z49" i="24"/>
  <c r="D51" i="25" s="1"/>
  <c r="X71" i="24"/>
  <c r="B73" i="25" s="1"/>
  <c r="Y35" i="24"/>
  <c r="C37" i="25" s="1"/>
  <c r="Y10" i="24"/>
  <c r="C12" i="25" s="1"/>
  <c r="X10" i="24"/>
  <c r="B12" i="25" s="1"/>
  <c r="Y33" i="24"/>
  <c r="C35" i="25" s="1"/>
  <c r="X41" i="24"/>
  <c r="B43" i="25" s="1"/>
  <c r="Y64" i="24"/>
  <c r="C66" i="25" s="1"/>
  <c r="X72" i="24"/>
  <c r="B74" i="25" s="1"/>
  <c r="Z51" i="24"/>
  <c r="D53" i="25" s="1"/>
  <c r="X39" i="24"/>
  <c r="B41" i="25" s="1"/>
  <c r="Y85" i="24"/>
  <c r="C87" i="25" s="1"/>
  <c r="Z50" i="24"/>
  <c r="D52" i="25" s="1"/>
  <c r="Y21" i="24"/>
  <c r="C23" i="25" s="1"/>
  <c r="X47" i="24"/>
  <c r="B49" i="25" s="1"/>
  <c r="Z20" i="24"/>
  <c r="D22" i="25" s="1"/>
  <c r="Y4" i="24"/>
  <c r="C6" i="25" s="1"/>
  <c r="Y86" i="24"/>
  <c r="C88" i="25" s="1"/>
  <c r="X59" i="24"/>
  <c r="B61" i="25" s="1"/>
  <c r="Z2" i="24"/>
  <c r="D4" i="25" s="1"/>
  <c r="Z91" i="24"/>
  <c r="D93" i="25" s="1"/>
  <c r="X33" i="24"/>
  <c r="B35" i="25" s="1"/>
  <c r="Y56" i="24"/>
  <c r="C58" i="25" s="1"/>
  <c r="X64" i="24"/>
  <c r="B66" i="25" s="1"/>
  <c r="Y57" i="24"/>
  <c r="C59" i="25" s="1"/>
  <c r="Y39" i="24"/>
  <c r="C41" i="25" s="1"/>
  <c r="Y79" i="24"/>
  <c r="C81" i="25" s="1"/>
  <c r="X6" i="24"/>
  <c r="B8" i="25" s="1"/>
  <c r="Z35" i="24"/>
  <c r="D37" i="25" s="1"/>
  <c r="Y49" i="24"/>
  <c r="C51" i="25" s="1"/>
  <c r="Y80" i="24"/>
  <c r="C82" i="25" s="1"/>
  <c r="X88" i="24"/>
  <c r="B90" i="25" s="1"/>
  <c r="Z82" i="24"/>
  <c r="D84" i="25" s="1"/>
  <c r="X38" i="24"/>
  <c r="B40" i="25" s="1"/>
  <c r="X86" i="24"/>
  <c r="B88" i="25" s="1"/>
  <c r="Y18" i="24"/>
  <c r="C20" i="25" s="1"/>
  <c r="Y72" i="24"/>
  <c r="C74" i="25" s="1"/>
  <c r="Z81" i="24"/>
  <c r="D83" i="25" s="1"/>
  <c r="Y70" i="24"/>
  <c r="C72" i="25" s="1"/>
  <c r="Z19" i="24"/>
  <c r="D21" i="25" s="1"/>
  <c r="Y6" i="24"/>
  <c r="C8" i="25" s="1"/>
  <c r="Y20" i="24"/>
  <c r="C22" i="25" s="1"/>
  <c r="Z79" i="24"/>
  <c r="D81" i="25" s="1"/>
  <c r="Z66" i="24"/>
  <c r="D68" i="25" s="1"/>
  <c r="Y71" i="24"/>
  <c r="C73" i="25" s="1"/>
  <c r="Y44" i="24"/>
  <c r="C46" i="25" s="1"/>
  <c r="Y19" i="24"/>
  <c r="C21" i="25" s="1"/>
  <c r="Z76" i="24"/>
  <c r="D78" i="25" s="1"/>
  <c r="Z75" i="24"/>
  <c r="D77" i="25" s="1"/>
  <c r="Y17" i="24"/>
  <c r="C19" i="25" s="1"/>
  <c r="Y48" i="24"/>
  <c r="C50" i="25" s="1"/>
  <c r="X56" i="24"/>
  <c r="B58" i="25" s="1"/>
  <c r="Y13" i="24"/>
  <c r="C15" i="25" s="1"/>
  <c r="Y69" i="24"/>
  <c r="C71" i="25" s="1"/>
  <c r="Y78" i="24"/>
  <c r="C80" i="25" s="1"/>
  <c r="Z70" i="24"/>
  <c r="D72" i="25" s="1"/>
  <c r="Y5" i="24"/>
  <c r="C7" i="25" s="1"/>
  <c r="Y2" i="24"/>
  <c r="C4" i="25" s="1"/>
  <c r="Z36" i="24"/>
  <c r="D38" i="25" s="1"/>
  <c r="X60" i="24"/>
  <c r="B62" i="25" s="1"/>
  <c r="Y11" i="24"/>
  <c r="C13" i="25" s="1"/>
  <c r="Z60" i="24"/>
  <c r="D62" i="25" s="1"/>
  <c r="Z59" i="24"/>
  <c r="D61" i="25" s="1"/>
  <c r="Y9" i="24"/>
  <c r="C11" i="25" s="1"/>
  <c r="X17" i="24"/>
  <c r="B19" i="25" s="1"/>
  <c r="Y40" i="24"/>
  <c r="C42" i="25" s="1"/>
  <c r="G4" i="10"/>
  <c r="K4" i="10" s="1"/>
  <c r="P29" i="26"/>
  <c r="G4" i="9" l="1"/>
  <c r="K4" i="9" s="1"/>
  <c r="P27" i="26"/>
  <c r="P28" i="26"/>
  <c r="P26" i="26"/>
  <c r="P25" i="26"/>
  <c r="Q35" i="26" l="1"/>
  <c r="X35" i="26" s="1"/>
  <c r="Z19" i="22" s="1"/>
  <c r="Q41" i="26"/>
  <c r="Q37" i="26"/>
  <c r="Q34" i="26"/>
  <c r="Q38" i="26"/>
  <c r="Q33" i="26"/>
  <c r="Q36" i="26"/>
  <c r="Q39" i="26"/>
  <c r="Q40" i="26"/>
  <c r="G4" i="8"/>
  <c r="K4" i="8" s="1"/>
  <c r="Y35" i="26" l="1"/>
  <c r="AA19" i="22" s="1"/>
  <c r="S35" i="26"/>
  <c r="U19" i="22" s="1"/>
  <c r="V35" i="26"/>
  <c r="X19" i="22" s="1"/>
  <c r="W35" i="26"/>
  <c r="Y19" i="22" s="1"/>
  <c r="R35" i="26"/>
  <c r="T19" i="22" s="1"/>
  <c r="T35" i="26"/>
  <c r="V19" i="22" s="1"/>
  <c r="U35" i="26"/>
  <c r="W19" i="22" s="1"/>
  <c r="R41" i="26"/>
  <c r="T25" i="22" s="1"/>
  <c r="S25" i="22"/>
  <c r="S41" i="26"/>
  <c r="U25" i="22" s="1"/>
  <c r="T41" i="26"/>
  <c r="V25" i="22" s="1"/>
  <c r="U41" i="26"/>
  <c r="W25" i="22" s="1"/>
  <c r="W41" i="26"/>
  <c r="Y25" i="22" s="1"/>
  <c r="V41" i="26"/>
  <c r="X25" i="22" s="1"/>
  <c r="X41" i="26"/>
  <c r="Z25" i="22" s="1"/>
  <c r="Y41" i="26"/>
  <c r="AA25" i="22" s="1"/>
  <c r="T39" i="26"/>
  <c r="V23" i="22" s="1"/>
  <c r="S39" i="26"/>
  <c r="U23" i="22" s="1"/>
  <c r="R39" i="26"/>
  <c r="T23" i="22" s="1"/>
  <c r="W39" i="26"/>
  <c r="Y23" i="22" s="1"/>
  <c r="Y39" i="26"/>
  <c r="AA23" i="22" s="1"/>
  <c r="U39" i="26"/>
  <c r="W23" i="22" s="1"/>
  <c r="V39" i="26"/>
  <c r="X23" i="22" s="1"/>
  <c r="X39" i="26"/>
  <c r="Z23" i="22" s="1"/>
  <c r="R36" i="26"/>
  <c r="T20" i="22" s="1"/>
  <c r="X36" i="26"/>
  <c r="Z20" i="22" s="1"/>
  <c r="T36" i="26"/>
  <c r="V20" i="22" s="1"/>
  <c r="U36" i="26"/>
  <c r="W20" i="22" s="1"/>
  <c r="Y36" i="26"/>
  <c r="AA20" i="22" s="1"/>
  <c r="S36" i="26"/>
  <c r="U20" i="22" s="1"/>
  <c r="W36" i="26"/>
  <c r="Y20" i="22" s="1"/>
  <c r="V36" i="26"/>
  <c r="X20" i="22" s="1"/>
  <c r="Y33" i="26"/>
  <c r="AA17" i="22" s="1"/>
  <c r="V33" i="26"/>
  <c r="X17" i="22" s="1"/>
  <c r="W33" i="26"/>
  <c r="Y17" i="22" s="1"/>
  <c r="X33" i="26"/>
  <c r="Z17" i="22" s="1"/>
  <c r="R33" i="26"/>
  <c r="T17" i="22" s="1"/>
  <c r="U33" i="26"/>
  <c r="W17" i="22" s="1"/>
  <c r="S33" i="26"/>
  <c r="U17" i="22" s="1"/>
  <c r="T33" i="26"/>
  <c r="V17" i="22" s="1"/>
  <c r="T38" i="26"/>
  <c r="V22" i="22" s="1"/>
  <c r="V38" i="26"/>
  <c r="X22" i="22" s="1"/>
  <c r="W38" i="26"/>
  <c r="Y22" i="22" s="1"/>
  <c r="S38" i="26"/>
  <c r="U22" i="22" s="1"/>
  <c r="R38" i="26"/>
  <c r="T22" i="22" s="1"/>
  <c r="Y38" i="26"/>
  <c r="AA22" i="22" s="1"/>
  <c r="X38" i="26"/>
  <c r="Z22" i="22" s="1"/>
  <c r="U38" i="26"/>
  <c r="W22" i="22" s="1"/>
  <c r="R34" i="26"/>
  <c r="T18" i="22" s="1"/>
  <c r="V34" i="26"/>
  <c r="X18" i="22" s="1"/>
  <c r="W34" i="26"/>
  <c r="Y18" i="22" s="1"/>
  <c r="S34" i="26"/>
  <c r="U18" i="22" s="1"/>
  <c r="T34" i="26"/>
  <c r="V18" i="22" s="1"/>
  <c r="U34" i="26"/>
  <c r="W18" i="22" s="1"/>
  <c r="Y34" i="26"/>
  <c r="AA18" i="22" s="1"/>
  <c r="X34" i="26"/>
  <c r="Z18" i="22" s="1"/>
  <c r="U40" i="26"/>
  <c r="W24" i="22" s="1"/>
  <c r="W40" i="26"/>
  <c r="Y24" i="22" s="1"/>
  <c r="Y40" i="26"/>
  <c r="AA24" i="22" s="1"/>
  <c r="X40" i="26"/>
  <c r="Z24" i="22" s="1"/>
  <c r="V40" i="26"/>
  <c r="X24" i="22" s="1"/>
  <c r="S24" i="22"/>
  <c r="R40" i="26"/>
  <c r="T24" i="22" s="1"/>
  <c r="S40" i="26"/>
  <c r="U24" i="22" s="1"/>
  <c r="T40" i="26"/>
  <c r="V24" i="22" s="1"/>
  <c r="V37" i="26"/>
  <c r="X21" i="22" s="1"/>
  <c r="T37" i="26"/>
  <c r="V21" i="22" s="1"/>
  <c r="S37" i="26"/>
  <c r="U21" i="22" s="1"/>
  <c r="U37" i="26"/>
  <c r="W21" i="22" s="1"/>
  <c r="X37" i="26"/>
  <c r="Z21" i="22" s="1"/>
  <c r="W37" i="26"/>
  <c r="Y21" i="22" s="1"/>
  <c r="Y37" i="26"/>
  <c r="AA21" i="22" s="1"/>
  <c r="R37" i="26"/>
  <c r="T21" i="22" s="1"/>
  <c r="S19" i="22"/>
  <c r="S21" i="22"/>
  <c r="S23" i="22"/>
  <c r="S17" i="22"/>
  <c r="S22" i="22"/>
  <c r="S20" i="22"/>
  <c r="S18" i="22"/>
  <c r="G22" i="27" l="1"/>
  <c r="K22" i="2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<sst xmlns="http://schemas.openxmlformats.org/spreadsheetml/2006/main" count="3738" uniqueCount="272">
  <si>
    <t>GL</t>
  </si>
  <si>
    <t>CAPnr</t>
  </si>
  <si>
    <t>NAAM SPELER</t>
  </si>
  <si>
    <t>G</t>
  </si>
  <si>
    <t>P1</t>
  </si>
  <si>
    <t>P2</t>
  </si>
  <si>
    <t>P3</t>
  </si>
  <si>
    <t>WIT:</t>
  </si>
  <si>
    <t>TIJD</t>
  </si>
  <si>
    <t>SW</t>
  </si>
  <si>
    <t>P</t>
  </si>
  <si>
    <t>D</t>
  </si>
  <si>
    <t>UMV</t>
  </si>
  <si>
    <t>UZV</t>
  </si>
  <si>
    <t>W/B</t>
  </si>
  <si>
    <t>STAND</t>
  </si>
  <si>
    <t>-</t>
  </si>
  <si>
    <t>W</t>
  </si>
  <si>
    <t>B</t>
  </si>
  <si>
    <t>DATUM:</t>
  </si>
  <si>
    <t>TIJD:</t>
  </si>
  <si>
    <t>PLAATS:</t>
  </si>
  <si>
    <t>LEGENDA:</t>
  </si>
  <si>
    <t>COACH:</t>
  </si>
  <si>
    <t>BLAUW:</t>
  </si>
  <si>
    <t>SCHEIDSRECHTER</t>
  </si>
  <si>
    <t>SVG Den Bosch</t>
  </si>
  <si>
    <t>Aqua Novio</t>
  </si>
  <si>
    <t>Eerste ronde</t>
  </si>
  <si>
    <t>score</t>
  </si>
  <si>
    <t>scheidsrechters</t>
  </si>
  <si>
    <t>wed</t>
  </si>
  <si>
    <t>veld</t>
  </si>
  <si>
    <t>A</t>
  </si>
  <si>
    <t>TEAMS</t>
  </si>
  <si>
    <t>speler</t>
  </si>
  <si>
    <t>capnr</t>
  </si>
  <si>
    <t>coach</t>
  </si>
  <si>
    <t>begeleider</t>
  </si>
  <si>
    <t>aanvoerder cap</t>
  </si>
  <si>
    <t>WATERBASKETBAL  WEDSTRIJDFORMULIER</t>
  </si>
  <si>
    <t>= Gespeeld</t>
  </si>
  <si>
    <t>TOERNOOI:</t>
  </si>
  <si>
    <t>= Blauw</t>
  </si>
  <si>
    <t>= Geen Legitimatie</t>
  </si>
  <si>
    <t>= Wit</t>
  </si>
  <si>
    <t>= Strafworp</t>
  </si>
  <si>
    <t>= Persoonlijke fout</t>
  </si>
  <si>
    <t>= Uitsluiting Met Vervang</t>
  </si>
  <si>
    <t>= Doelpunt</t>
  </si>
  <si>
    <t>= Uitsluiting Zonder Vervang</t>
  </si>
  <si>
    <t>* STREEP DOOR WAT NIET VAN TOEPASSING IS</t>
  </si>
  <si>
    <t>WEDSTIJD:</t>
  </si>
  <si>
    <t>(wit)</t>
  </si>
  <si>
    <t>TEGEN:</t>
  </si>
  <si>
    <t>(blauw)</t>
  </si>
  <si>
    <t>SCHEIDSRECHTERS:</t>
  </si>
  <si>
    <t>EN</t>
  </si>
  <si>
    <t>TIJDOPNEMER:</t>
  </si>
  <si>
    <t>SECRETARIS:</t>
  </si>
  <si>
    <t xml:space="preserve">TEAM </t>
  </si>
  <si>
    <t>U</t>
  </si>
  <si>
    <t>CAP NR</t>
  </si>
  <si>
    <t>S</t>
  </si>
  <si>
    <t>M</t>
  </si>
  <si>
    <t>Z</t>
  </si>
  <si>
    <t>V</t>
  </si>
  <si>
    <t>AANVOERDER CAPnr:</t>
  </si>
  <si>
    <t>OPMERKINGEN:</t>
  </si>
  <si>
    <t>EINDSTAND</t>
  </si>
  <si>
    <t>IN HET VOORDEEL VAN:   *</t>
  </si>
  <si>
    <t>PROTEST :   *</t>
  </si>
  <si>
    <t>HANDTEKENING:</t>
  </si>
  <si>
    <t>AANVOERDER/COACH</t>
  </si>
  <si>
    <t>WIT</t>
  </si>
  <si>
    <t>BLAUW</t>
  </si>
  <si>
    <t>LANDELIJK / REGIONAAL</t>
  </si>
  <si>
    <t>x</t>
  </si>
  <si>
    <t>gl</t>
  </si>
  <si>
    <t>p</t>
  </si>
  <si>
    <t>Wed 1</t>
  </si>
  <si>
    <t>Wed 2</t>
  </si>
  <si>
    <t>Wed 3</t>
  </si>
  <si>
    <t>Wed 4</t>
  </si>
  <si>
    <t>Wed 5</t>
  </si>
  <si>
    <t>Wed 6</t>
  </si>
  <si>
    <t>Wed 7</t>
  </si>
  <si>
    <t>Wed 8</t>
  </si>
  <si>
    <t>Wed 9</t>
  </si>
  <si>
    <t>Wed 10</t>
  </si>
  <si>
    <t>Wed 11</t>
  </si>
  <si>
    <t>Wed 12</t>
  </si>
  <si>
    <t>Wed 13</t>
  </si>
  <si>
    <t>Wed 14</t>
  </si>
  <si>
    <t>Wed 15</t>
  </si>
  <si>
    <t>Gegevens</t>
  </si>
  <si>
    <t>Sorteren</t>
  </si>
  <si>
    <t>wit</t>
  </si>
  <si>
    <t>Formulier</t>
  </si>
  <si>
    <t>Spelerslijst</t>
  </si>
  <si>
    <t>Topscorelijst</t>
  </si>
  <si>
    <t>Zondag</t>
  </si>
  <si>
    <t>Wedstrijdschema</t>
  </si>
  <si>
    <t>CAPNUMMER</t>
  </si>
  <si>
    <t>NAAM</t>
  </si>
  <si>
    <t>plaats</t>
  </si>
  <si>
    <t>naam</t>
  </si>
  <si>
    <t>club</t>
  </si>
  <si>
    <t>goals</t>
  </si>
  <si>
    <t>JA/NEE</t>
  </si>
  <si>
    <t>Stand na vorige speelronde</t>
  </si>
  <si>
    <t>gs</t>
  </si>
  <si>
    <t>ge</t>
  </si>
  <si>
    <t>vl</t>
  </si>
  <si>
    <t>pt</t>
  </si>
  <si>
    <t>gv</t>
  </si>
  <si>
    <t>gt</t>
  </si>
  <si>
    <t>ds</t>
  </si>
  <si>
    <t>Handleiding</t>
  </si>
  <si>
    <t>De gele velden zijn invulbaar bij de wedstrijdformulieren. Als eerste moet je bij de spelerslijsten onder de betreffende club de spelernamen en capnummer invullen.</t>
  </si>
  <si>
    <t>Je ziet aan de pijlen bij de blad waar de namen en capnummers komen te staan. Bij de coach vul je zijn naam in en bij de aanvoerdercap zijn capnummer.</t>
  </si>
  <si>
    <t>Bij de wedstrijdformulier kan je alleen de gele velden invullen. Bij de SW/P/D/UMV/UZV mag je alleen een x of X invullen. Geen ander getal of letter, dit is belangrijk</t>
  </si>
  <si>
    <t>Bij de topscorelijst hoef je helemaal niets te doen. Dit houdt het programma zelf bij.</t>
  </si>
  <si>
    <t>WIT   /   BLAUW</t>
  </si>
  <si>
    <t>JA   /   NEE</t>
  </si>
  <si>
    <t>Wedstrijdformulier om te printen</t>
  </si>
  <si>
    <t>Pl</t>
  </si>
  <si>
    <t>Club</t>
  </si>
  <si>
    <t>Gs</t>
  </si>
  <si>
    <t>Ge</t>
  </si>
  <si>
    <t>Gl</t>
  </si>
  <si>
    <t>Vl</t>
  </si>
  <si>
    <t>Pt</t>
  </si>
  <si>
    <t>Gv</t>
  </si>
  <si>
    <t>Gt</t>
  </si>
  <si>
    <t>Doels</t>
  </si>
  <si>
    <t>w</t>
  </si>
  <si>
    <t>ander vult het blad de automatische gegevens niet in. Bij W/B vul je W of B in. Capnummer lijkt me duidelijk, zijn capnummer dus.</t>
  </si>
  <si>
    <t>sw</t>
  </si>
  <si>
    <t>d</t>
  </si>
  <si>
    <t>umv</t>
  </si>
  <si>
    <t>uzv</t>
  </si>
  <si>
    <t>b</t>
  </si>
  <si>
    <t>Bij en eigen doelpunt vul je wel de caplkleur in voor het team waarvoor het doelpunt telt, bij de capnr zet je dan ed met het capnummer daaracher.</t>
  </si>
  <si>
    <t>Doelpunt W</t>
  </si>
  <si>
    <t>Doelpunt Blauw</t>
  </si>
  <si>
    <t>Strafbal Wit</t>
  </si>
  <si>
    <t>Strafbal Blauw</t>
  </si>
  <si>
    <t>eigen goal Wit</t>
  </si>
  <si>
    <t>ed9</t>
  </si>
  <si>
    <t>eigen goal Blauw</t>
  </si>
  <si>
    <t>eg5</t>
  </si>
  <si>
    <t>Persoonlijke fout Blauw</t>
  </si>
  <si>
    <t>Persoonlijke fout Wit</t>
  </si>
  <si>
    <t>Uit met vervanging Wit / Blauw</t>
  </si>
  <si>
    <t>Uit zonder vervanging Wit / Blauw</t>
  </si>
  <si>
    <t>Handtekeningen toernooi Oss</t>
  </si>
  <si>
    <t>Handtekening</t>
  </si>
  <si>
    <t xml:space="preserve">de goals en persoonlijke fouten ingevuld. Ook de eindstand onderin wordt automatsich ingevuld. Bij de protest hoef je alleen maar op de balk te </t>
  </si>
  <si>
    <t>Bij de GL zet je een x wie er spelen, deze kolom doet verder niets. Als je alles goed invult dat komen bij de betreffende speler automatisch</t>
  </si>
  <si>
    <t>klikken en dan op de pijl waarna je een keuze krijgt. Ja of Nee. Tijd vul je de minuut in de 1ste balk en de seconden in de 2 balk</t>
  </si>
  <si>
    <t>RZ Roermond</t>
  </si>
  <si>
    <t>Gesposs Geel</t>
  </si>
  <si>
    <t>Gesposs Blauw</t>
  </si>
  <si>
    <t>Veld:</t>
  </si>
  <si>
    <t>De Tubanten 1</t>
  </si>
  <si>
    <t>De Tubanten 2</t>
  </si>
  <si>
    <t>2de regionale toernooi zuid</t>
  </si>
  <si>
    <t>Den Bosch</t>
  </si>
  <si>
    <t>Wed16</t>
  </si>
  <si>
    <t>Wed17</t>
  </si>
  <si>
    <t>Wed18</t>
  </si>
  <si>
    <t>Wed19</t>
  </si>
  <si>
    <t>Wed20</t>
  </si>
  <si>
    <t>Regio zuid cup</t>
  </si>
  <si>
    <t>Stand Regio zuid</t>
  </si>
  <si>
    <t>Veld</t>
  </si>
  <si>
    <t>NEE</t>
  </si>
  <si>
    <t>VZ&amp;PC Nautilus 1</t>
  </si>
  <si>
    <t>VZ&amp;PC Nautilus 2</t>
  </si>
  <si>
    <t>Wed21</t>
  </si>
  <si>
    <t>Yevgeni Petrov</t>
  </si>
  <si>
    <t>Monique Bijker</t>
  </si>
  <si>
    <t>Leon Bijker</t>
  </si>
  <si>
    <t>Noah Hazelhoff</t>
  </si>
  <si>
    <t>Joran van Achteren</t>
  </si>
  <si>
    <t>Maiker Arends</t>
  </si>
  <si>
    <t>Wouter van Schip</t>
  </si>
  <si>
    <t>Bianca Verbeek</t>
  </si>
  <si>
    <t>Natascha Magrie</t>
  </si>
  <si>
    <t>Sean Williams</t>
  </si>
  <si>
    <t>Liam Williams</t>
  </si>
  <si>
    <t>Andre Buitink</t>
  </si>
  <si>
    <t>Marco Ensink</t>
  </si>
  <si>
    <t>Precilla Beune</t>
  </si>
  <si>
    <t>Timo Hazelhoff</t>
  </si>
  <si>
    <t>Mike Regtop</t>
  </si>
  <si>
    <t>Hans</t>
  </si>
  <si>
    <t>Kiki</t>
  </si>
  <si>
    <t>Dolf</t>
  </si>
  <si>
    <t>Gea</t>
  </si>
  <si>
    <t>Martijn</t>
  </si>
  <si>
    <t>Corne</t>
  </si>
  <si>
    <t>Willy</t>
  </si>
  <si>
    <t>Jos</t>
  </si>
  <si>
    <t>Kevin</t>
  </si>
  <si>
    <t>Juriaan</t>
  </si>
  <si>
    <t>Niels</t>
  </si>
  <si>
    <t>Corne Braken</t>
  </si>
  <si>
    <t>Kevin Kanters</t>
  </si>
  <si>
    <t>Monique Schouten</t>
  </si>
  <si>
    <t>Miranda van Schaijk</t>
  </si>
  <si>
    <t>Jan Zegers</t>
  </si>
  <si>
    <t>Christian Gibbels</t>
  </si>
  <si>
    <t>Stefan van der Wielen</t>
  </si>
  <si>
    <t>Mieke Reijnders</t>
  </si>
  <si>
    <t>Willy van Grunsven</t>
  </si>
  <si>
    <t>Manuel Bastiaans</t>
  </si>
  <si>
    <t>Marga Schouten</t>
  </si>
  <si>
    <t>Anja Braken</t>
  </si>
  <si>
    <t>Mieke van Gerwen</t>
  </si>
  <si>
    <t>Susan van Wanrooy</t>
  </si>
  <si>
    <t>Jeffrey Danen</t>
  </si>
  <si>
    <t>Helga Addink</t>
  </si>
  <si>
    <t>Werner Dudek</t>
  </si>
  <si>
    <t>Luc Mulder</t>
  </si>
  <si>
    <t>Sol Geraedts</t>
  </si>
  <si>
    <t>Ties Bouten</t>
  </si>
  <si>
    <t>Wilma van Helden</t>
  </si>
  <si>
    <t>Sonja Bouten</t>
  </si>
  <si>
    <t>Jack Steeghs</t>
  </si>
  <si>
    <t>Niels Venterink</t>
  </si>
  <si>
    <t>Wendy Kuysters</t>
  </si>
  <si>
    <t>Eef de Ruijter</t>
  </si>
  <si>
    <t>Kristel Henst</t>
  </si>
  <si>
    <t>Wout Reininga</t>
  </si>
  <si>
    <t>Romy Hoed-Venterink</t>
  </si>
  <si>
    <t>Marieke van Namen</t>
  </si>
  <si>
    <t>Manon Dekkers</t>
  </si>
  <si>
    <t>Celine van de Heuvel</t>
  </si>
  <si>
    <t>Jasper van Houtum</t>
  </si>
  <si>
    <t>Arjan Dulos</t>
  </si>
  <si>
    <t>Kim Wolf</t>
  </si>
  <si>
    <t>Kevin van Boekel</t>
  </si>
  <si>
    <t>Kevin van Kollenburg</t>
  </si>
  <si>
    <t>Tim van den Akker</t>
  </si>
  <si>
    <t>Marloes Beks-Geurts</t>
  </si>
  <si>
    <t>Lincy Ruijs</t>
  </si>
  <si>
    <t>Finn van der Krift</t>
  </si>
  <si>
    <t>Bjorn Blom</t>
  </si>
  <si>
    <t>Wesley van Eldijk</t>
  </si>
  <si>
    <t>Jurriaan Rijnaars</t>
  </si>
  <si>
    <t>Lucas van Osch</t>
  </si>
  <si>
    <t>Helmi van Hirtum</t>
  </si>
  <si>
    <t>Sara van Grinsven</t>
  </si>
  <si>
    <t>Robby van Gruythuysen</t>
  </si>
  <si>
    <t>Peter Schwering</t>
  </si>
  <si>
    <t>Stefan Hermens</t>
  </si>
  <si>
    <t>Luuk Muskens</t>
  </si>
  <si>
    <t>Jop van Weel</t>
  </si>
  <si>
    <t>Collin Bijnen</t>
  </si>
  <si>
    <t>Lorenz Gerritz</t>
  </si>
  <si>
    <t>Doan Tran Thi Tuc</t>
  </si>
  <si>
    <t>Siemen Pouwels</t>
  </si>
  <si>
    <t>Eric Gabriel</t>
  </si>
  <si>
    <t>X</t>
  </si>
  <si>
    <t>Maritz</t>
  </si>
  <si>
    <t>Lisa</t>
  </si>
  <si>
    <t>Mo</t>
  </si>
  <si>
    <t>Mark van der Heijden (leen)</t>
  </si>
  <si>
    <t>Hans Reijnders (leen)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</si>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</sst>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\ mmmm\ yyyy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5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7"/>
      <color theme="1"/>
      <name val="Arial Narrow"/>
      <family val="2"/>
    </font>
    <font>
      <sz val="10"/>
      <color theme="0"/>
      <name val="Arial Narrow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20"/>
      <color theme="1"/>
      <name val="Arial Narrow"/>
      <family val="2"/>
    </font>
    <font>
      <i/>
      <sz val="12"/>
      <name val="Arial"/>
      <family val="2"/>
    </font>
    <font>
      <sz val="10"/>
      <color theme="0" tint="-4.9989318521683403E-2"/>
      <name val="Arial Narrow"/>
      <family val="2"/>
    </font>
    <font>
      <sz val="10"/>
      <color rgb="FFFF0000"/>
      <name val="Arial Narrow"/>
      <family val="2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theme="3" tint="-0.24994659260841701"/>
      </left>
      <right/>
      <top style="dashed">
        <color theme="3" tint="-0.24994659260841701"/>
      </top>
      <bottom style="dashed">
        <color theme="3" tint="-0.24994659260841701"/>
      </bottom>
      <diagonal/>
    </border>
    <border>
      <left/>
      <right/>
      <top style="dashed">
        <color theme="3" tint="-0.24994659260841701"/>
      </top>
      <bottom style="dashed">
        <color theme="3" tint="-0.24994659260841701"/>
      </bottom>
      <diagonal/>
    </border>
    <border>
      <left/>
      <right style="dashed">
        <color theme="3" tint="-0.24994659260841701"/>
      </right>
      <top style="dashed">
        <color theme="3" tint="-0.24994659260841701"/>
      </top>
      <bottom style="dashed">
        <color theme="3" tint="-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454">
    <xf numFmtId="0" fontId="0" fillId="0" borderId="0" xfId="0"/>
    <xf numFmtId="0" fontId="0" fillId="2" borderId="0" xfId="0" applyFill="1"/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2" borderId="26" xfId="0" applyFont="1" applyFill="1" applyBorder="1" applyAlignment="1" applyProtection="1">
      <alignment horizontal="center"/>
      <protection hidden="1"/>
    </xf>
    <xf numFmtId="0" fontId="2" fillId="2" borderId="26" xfId="0" applyFont="1" applyFill="1" applyBorder="1" applyProtection="1">
      <protection hidden="1"/>
    </xf>
    <xf numFmtId="0" fontId="2" fillId="2" borderId="27" xfId="0" applyFont="1" applyFill="1" applyBorder="1" applyProtection="1">
      <protection hidden="1"/>
    </xf>
    <xf numFmtId="20" fontId="29" fillId="0" borderId="0" xfId="0" applyNumberFormat="1" applyFont="1" applyProtection="1">
      <protection hidden="1"/>
    </xf>
    <xf numFmtId="165" fontId="4" fillId="2" borderId="78" xfId="0" applyNumberFormat="1" applyFont="1" applyFill="1" applyBorder="1" applyAlignment="1" applyProtection="1">
      <alignment horizontal="center"/>
      <protection hidden="1"/>
    </xf>
    <xf numFmtId="165" fontId="4" fillId="2" borderId="14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0" fontId="32" fillId="5" borderId="102" xfId="0" applyFont="1" applyFill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32" fillId="5" borderId="7" xfId="0" applyFont="1" applyFill="1" applyBorder="1" applyAlignment="1" applyProtection="1">
      <alignment horizontal="center" vertical="center"/>
      <protection hidden="1"/>
    </xf>
    <xf numFmtId="0" fontId="2" fillId="0" borderId="100" xfId="0" applyFont="1" applyBorder="1" applyProtection="1">
      <protection hidden="1"/>
    </xf>
    <xf numFmtId="20" fontId="3" fillId="0" borderId="100" xfId="0" applyNumberFormat="1" applyFont="1" applyBorder="1" applyAlignment="1" applyProtection="1">
      <alignment horizontal="center"/>
      <protection hidden="1"/>
    </xf>
    <xf numFmtId="0" fontId="5" fillId="0" borderId="100" xfId="0" applyFont="1" applyBorder="1" applyProtection="1">
      <protection hidden="1"/>
    </xf>
    <xf numFmtId="0" fontId="7" fillId="0" borderId="100" xfId="0" quotePrefix="1" applyFont="1" applyBorder="1" applyAlignment="1" applyProtection="1">
      <alignment horizontal="center"/>
      <protection hidden="1"/>
    </xf>
    <xf numFmtId="0" fontId="2" fillId="0" borderId="100" xfId="0" applyFont="1" applyBorder="1" applyAlignment="1" applyProtection="1">
      <alignment horizontal="center"/>
      <protection hidden="1"/>
    </xf>
    <xf numFmtId="0" fontId="25" fillId="3" borderId="1" xfId="1" applyFont="1" applyFill="1" applyBorder="1" applyAlignment="1" applyProtection="1">
      <alignment horizontal="center" vertical="center"/>
      <protection hidden="1"/>
    </xf>
    <xf numFmtId="0" fontId="2" fillId="0" borderId="7" xfId="0" applyFont="1" applyBorder="1" applyProtection="1"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5" borderId="7" xfId="0" applyFont="1" applyFill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87" xfId="0" applyFont="1" applyBorder="1" applyProtection="1">
      <protection hidden="1"/>
    </xf>
    <xf numFmtId="20" fontId="3" fillId="0" borderId="87" xfId="0" applyNumberFormat="1" applyFont="1" applyBorder="1" applyAlignment="1" applyProtection="1">
      <alignment horizontal="center"/>
      <protection hidden="1"/>
    </xf>
    <xf numFmtId="0" fontId="5" fillId="0" borderId="87" xfId="0" applyFont="1" applyBorder="1" applyProtection="1">
      <protection hidden="1"/>
    </xf>
    <xf numFmtId="0" fontId="7" fillId="0" borderId="87" xfId="0" quotePrefix="1" applyFont="1" applyBorder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32" fillId="5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20" fontId="22" fillId="0" borderId="0" xfId="0" applyNumberFormat="1" applyFont="1" applyAlignment="1" applyProtection="1">
      <alignment vertical="center"/>
      <protection hidden="1"/>
    </xf>
    <xf numFmtId="0" fontId="13" fillId="0" borderId="2" xfId="0" applyFont="1" applyBorder="1" applyAlignment="1" applyProtection="1">
      <alignment vertical="center"/>
      <protection hidden="1"/>
    </xf>
    <xf numFmtId="0" fontId="12" fillId="0" borderId="3" xfId="0" applyFont="1" applyBorder="1" applyAlignment="1" applyProtection="1">
      <alignment vertical="center"/>
      <protection hidden="1"/>
    </xf>
    <xf numFmtId="0" fontId="12" fillId="0" borderId="3" xfId="0" quotePrefix="1" applyFont="1" applyBorder="1" applyAlignment="1" applyProtection="1">
      <alignment vertical="center"/>
      <protection hidden="1"/>
    </xf>
    <xf numFmtId="0" fontId="12" fillId="0" borderId="3" xfId="0" applyFont="1" applyBorder="1" applyAlignment="1" applyProtection="1">
      <alignment horizontal="left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vertical="center"/>
      <protection hidden="1"/>
    </xf>
    <xf numFmtId="0" fontId="12" fillId="0" borderId="0" xfId="0" quotePrefix="1" applyFont="1" applyAlignment="1" applyProtection="1">
      <alignment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0" fontId="12" fillId="0" borderId="65" xfId="0" applyFont="1" applyBorder="1" applyAlignment="1" applyProtection="1">
      <alignment vertical="center"/>
      <protection hidden="1"/>
    </xf>
    <xf numFmtId="0" fontId="12" fillId="0" borderId="65" xfId="0" quotePrefix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2" fillId="0" borderId="16" xfId="0" applyFont="1" applyBorder="1" applyAlignment="1" applyProtection="1">
      <alignment vertical="center"/>
      <protection hidden="1"/>
    </xf>
    <xf numFmtId="0" fontId="12" fillId="0" borderId="17" xfId="0" applyFont="1" applyBorder="1" applyAlignment="1" applyProtection="1">
      <alignment vertical="center"/>
      <protection hidden="1"/>
    </xf>
    <xf numFmtId="0" fontId="15" fillId="0" borderId="17" xfId="0" applyFont="1" applyBorder="1" applyAlignment="1" applyProtection="1">
      <alignment horizontal="left"/>
      <protection hidden="1"/>
    </xf>
    <xf numFmtId="0" fontId="16" fillId="0" borderId="17" xfId="0" applyFont="1" applyBorder="1" applyAlignment="1" applyProtection="1">
      <alignment vertical="center"/>
      <protection hidden="1"/>
    </xf>
    <xf numFmtId="0" fontId="12" fillId="0" borderId="17" xfId="0" applyFont="1" applyBorder="1" applyAlignment="1" applyProtection="1">
      <alignment horizontal="left" vertical="center"/>
      <protection hidden="1"/>
    </xf>
    <xf numFmtId="0" fontId="12" fillId="0" borderId="17" xfId="0" applyFont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vertical="center"/>
      <protection hidden="1"/>
    </xf>
    <xf numFmtId="0" fontId="12" fillId="0" borderId="10" xfId="0" applyFont="1" applyBorder="1" applyAlignment="1" applyProtection="1">
      <alignment vertical="center"/>
      <protection hidden="1"/>
    </xf>
    <xf numFmtId="0" fontId="16" fillId="0" borderId="6" xfId="0" applyFont="1" applyBorder="1" applyAlignment="1" applyProtection="1">
      <alignment vertical="center"/>
      <protection hidden="1"/>
    </xf>
    <xf numFmtId="0" fontId="16" fillId="0" borderId="10" xfId="0" applyFont="1" applyBorder="1" applyAlignment="1" applyProtection="1">
      <alignment vertical="center"/>
      <protection hidden="1"/>
    </xf>
    <xf numFmtId="0" fontId="12" fillId="0" borderId="10" xfId="0" applyFont="1" applyBorder="1" applyAlignment="1" applyProtection="1">
      <alignment horizontal="left" vertical="center"/>
      <protection hidden="1"/>
    </xf>
    <xf numFmtId="0" fontId="12" fillId="0" borderId="10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 applyProtection="1">
      <alignment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vertical="center"/>
      <protection hidden="1"/>
    </xf>
    <xf numFmtId="0" fontId="12" fillId="0" borderId="22" xfId="0" applyFont="1" applyBorder="1" applyAlignment="1" applyProtection="1">
      <alignment vertical="center"/>
      <protection hidden="1"/>
    </xf>
    <xf numFmtId="0" fontId="12" fillId="2" borderId="22" xfId="0" applyFont="1" applyFill="1" applyBorder="1" applyAlignment="1" applyProtection="1">
      <alignment vertical="center"/>
      <protection locked="0" hidden="1"/>
    </xf>
    <xf numFmtId="0" fontId="12" fillId="0" borderId="23" xfId="0" applyFont="1" applyBorder="1" applyAlignment="1" applyProtection="1">
      <alignment vertical="center"/>
      <protection hidden="1"/>
    </xf>
    <xf numFmtId="0" fontId="12" fillId="2" borderId="22" xfId="0" applyFont="1" applyFill="1" applyBorder="1" applyAlignment="1" applyProtection="1">
      <alignment horizontal="left" vertical="center"/>
      <protection locked="0" hidden="1"/>
    </xf>
    <xf numFmtId="0" fontId="12" fillId="2" borderId="22" xfId="0" applyFont="1" applyFill="1" applyBorder="1" applyAlignment="1" applyProtection="1">
      <alignment horizontal="center" vertical="center"/>
      <protection locked="0" hidden="1"/>
    </xf>
    <xf numFmtId="0" fontId="12" fillId="2" borderId="24" xfId="0" applyFont="1" applyFill="1" applyBorder="1" applyAlignment="1" applyProtection="1">
      <alignment horizontal="center" vertical="center"/>
      <protection locked="0" hidden="1"/>
    </xf>
    <xf numFmtId="0" fontId="12" fillId="0" borderId="25" xfId="0" applyFont="1" applyBorder="1" applyAlignment="1" applyProtection="1">
      <alignment horizontal="left"/>
      <protection hidden="1"/>
    </xf>
    <xf numFmtId="0" fontId="12" fillId="0" borderId="26" xfId="0" applyFont="1" applyBorder="1" applyProtection="1">
      <protection hidden="1"/>
    </xf>
    <xf numFmtId="0" fontId="12" fillId="0" borderId="29" xfId="0" applyFont="1" applyBorder="1" applyAlignment="1" applyProtection="1">
      <alignment horizontal="center" textRotation="255" wrapText="1"/>
      <protection hidden="1"/>
    </xf>
    <xf numFmtId="0" fontId="12" fillId="0" borderId="0" xfId="0" applyFont="1" applyProtection="1">
      <protection hidden="1"/>
    </xf>
    <xf numFmtId="0" fontId="34" fillId="0" borderId="0" xfId="0" applyFont="1" applyProtection="1">
      <protection hidden="1"/>
    </xf>
    <xf numFmtId="0" fontId="12" fillId="0" borderId="34" xfId="0" applyFont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9" fillId="0" borderId="6" xfId="0" applyFont="1" applyBorder="1" applyProtection="1">
      <protection hidden="1"/>
    </xf>
    <xf numFmtId="0" fontId="12" fillId="0" borderId="40" xfId="0" applyFont="1" applyBorder="1" applyProtection="1">
      <protection hidden="1"/>
    </xf>
    <xf numFmtId="0" fontId="12" fillId="0" borderId="11" xfId="0" applyFont="1" applyBorder="1" applyProtection="1">
      <protection hidden="1"/>
    </xf>
    <xf numFmtId="0" fontId="12" fillId="0" borderId="10" xfId="0" applyFont="1" applyBorder="1" applyProtection="1">
      <protection hidden="1"/>
    </xf>
    <xf numFmtId="0" fontId="12" fillId="0" borderId="11" xfId="0" applyFont="1" applyBorder="1" applyAlignment="1" applyProtection="1">
      <alignment vertical="center"/>
      <protection hidden="1"/>
    </xf>
    <xf numFmtId="0" fontId="12" fillId="0" borderId="12" xfId="0" applyFont="1" applyBorder="1" applyAlignment="1" applyProtection="1">
      <alignment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41" xfId="0" applyFont="1" applyBorder="1" applyAlignment="1" applyProtection="1">
      <alignment horizontal="center" vertical="center"/>
      <protection hidden="1"/>
    </xf>
    <xf numFmtId="0" fontId="12" fillId="2" borderId="42" xfId="0" applyFont="1" applyFill="1" applyBorder="1" applyAlignment="1" applyProtection="1">
      <alignment vertical="center"/>
      <protection locked="0" hidden="1"/>
    </xf>
    <xf numFmtId="0" fontId="12" fillId="2" borderId="43" xfId="0" applyFont="1" applyFill="1" applyBorder="1" applyAlignment="1" applyProtection="1">
      <alignment vertical="center"/>
      <protection locked="0" hidden="1"/>
    </xf>
    <xf numFmtId="0" fontId="20" fillId="0" borderId="43" xfId="0" applyFont="1" applyBorder="1" applyAlignment="1" applyProtection="1">
      <alignment horizontal="center" vertical="center"/>
      <protection hidden="1"/>
    </xf>
    <xf numFmtId="0" fontId="12" fillId="2" borderId="44" xfId="0" applyFont="1" applyFill="1" applyBorder="1" applyAlignment="1" applyProtection="1">
      <alignment horizontal="left" vertical="center"/>
      <protection locked="0" hidden="1"/>
    </xf>
    <xf numFmtId="0" fontId="12" fillId="2" borderId="45" xfId="0" applyFont="1" applyFill="1" applyBorder="1" applyAlignment="1" applyProtection="1">
      <alignment horizontal="center" vertical="center"/>
      <protection locked="0" hidden="1"/>
    </xf>
    <xf numFmtId="0" fontId="12" fillId="2" borderId="46" xfId="0" applyFont="1" applyFill="1" applyBorder="1" applyAlignment="1" applyProtection="1">
      <alignment horizontal="center" vertical="center"/>
      <protection locked="0" hidden="1"/>
    </xf>
    <xf numFmtId="0" fontId="12" fillId="2" borderId="44" xfId="0" applyFont="1" applyFill="1" applyBorder="1" applyAlignment="1" applyProtection="1">
      <alignment horizontal="center" vertical="center"/>
      <protection locked="0" hidden="1"/>
    </xf>
    <xf numFmtId="0" fontId="12" fillId="0" borderId="45" xfId="0" applyFont="1" applyBorder="1" applyAlignment="1" applyProtection="1">
      <alignment vertical="center"/>
      <protection hidden="1"/>
    </xf>
    <xf numFmtId="0" fontId="12" fillId="0" borderId="43" xfId="0" applyFont="1" applyBorder="1" applyAlignment="1" applyProtection="1">
      <alignment horizontal="center" vertical="center"/>
      <protection hidden="1"/>
    </xf>
    <xf numFmtId="0" fontId="12" fillId="0" borderId="43" xfId="0" applyFont="1" applyBorder="1" applyAlignment="1" applyProtection="1">
      <alignment vertical="center"/>
      <protection hidden="1"/>
    </xf>
    <xf numFmtId="0" fontId="12" fillId="0" borderId="47" xfId="0" applyFont="1" applyBorder="1" applyAlignment="1" applyProtection="1">
      <alignment horizontal="center" vertical="center"/>
      <protection hidden="1"/>
    </xf>
    <xf numFmtId="0" fontId="12" fillId="2" borderId="48" xfId="0" applyFont="1" applyFill="1" applyBorder="1" applyAlignment="1" applyProtection="1">
      <alignment horizontal="center"/>
      <protection locked="0" hidden="1"/>
    </xf>
    <xf numFmtId="0" fontId="16" fillId="0" borderId="43" xfId="0" applyFont="1" applyBorder="1" applyAlignment="1" applyProtection="1">
      <alignment vertical="center"/>
      <protection hidden="1"/>
    </xf>
    <xf numFmtId="0" fontId="16" fillId="0" borderId="3" xfId="0" applyFont="1" applyBorder="1" applyAlignment="1" applyProtection="1">
      <alignment vertical="center" readingOrder="1"/>
      <protection hidden="1"/>
    </xf>
    <xf numFmtId="0" fontId="16" fillId="0" borderId="13" xfId="0" applyFont="1" applyBorder="1" applyAlignment="1" applyProtection="1">
      <alignment vertical="center" readingOrder="1"/>
      <protection hidden="1"/>
    </xf>
    <xf numFmtId="0" fontId="12" fillId="0" borderId="51" xfId="0" applyFont="1" applyBorder="1" applyAlignment="1" applyProtection="1">
      <alignment horizontal="center" vertical="center"/>
      <protection hidden="1"/>
    </xf>
    <xf numFmtId="0" fontId="12" fillId="0" borderId="45" xfId="0" applyFont="1" applyBorder="1" applyAlignment="1" applyProtection="1">
      <alignment horizontal="center" vertical="center"/>
      <protection hidden="1"/>
    </xf>
    <xf numFmtId="0" fontId="12" fillId="0" borderId="46" xfId="0" applyFont="1" applyBorder="1" applyAlignment="1" applyProtection="1">
      <alignment horizontal="center" vertical="center"/>
      <protection hidden="1"/>
    </xf>
    <xf numFmtId="0" fontId="12" fillId="2" borderId="49" xfId="0" applyFont="1" applyFill="1" applyBorder="1" applyAlignment="1" applyProtection="1">
      <alignment vertical="center"/>
      <protection locked="0" hidden="1"/>
    </xf>
    <xf numFmtId="0" fontId="12" fillId="2" borderId="15" xfId="0" applyFont="1" applyFill="1" applyBorder="1" applyAlignment="1" applyProtection="1">
      <alignment vertical="center"/>
      <protection locked="0" hidden="1"/>
    </xf>
    <xf numFmtId="0" fontId="20" fillId="0" borderId="15" xfId="0" applyFont="1" applyBorder="1" applyAlignment="1" applyProtection="1">
      <alignment horizontal="center" vertical="center"/>
      <protection hidden="1"/>
    </xf>
    <xf numFmtId="0" fontId="12" fillId="2" borderId="50" xfId="0" applyFont="1" applyFill="1" applyBorder="1" applyAlignment="1" applyProtection="1">
      <alignment horizontal="left" vertical="center"/>
      <protection locked="0" hidden="1"/>
    </xf>
    <xf numFmtId="0" fontId="12" fillId="2" borderId="51" xfId="0" applyFont="1" applyFill="1" applyBorder="1" applyAlignment="1" applyProtection="1">
      <alignment horizontal="center" vertical="center"/>
      <protection locked="0" hidden="1"/>
    </xf>
    <xf numFmtId="0" fontId="12" fillId="2" borderId="52" xfId="0" applyFont="1" applyFill="1" applyBorder="1" applyAlignment="1" applyProtection="1">
      <alignment horizontal="center" vertical="center"/>
      <protection locked="0" hidden="1"/>
    </xf>
    <xf numFmtId="0" fontId="12" fillId="2" borderId="50" xfId="0" applyFont="1" applyFill="1" applyBorder="1" applyAlignment="1" applyProtection="1">
      <alignment horizontal="center" vertical="center"/>
      <protection locked="0" hidden="1"/>
    </xf>
    <xf numFmtId="0" fontId="12" fillId="0" borderId="51" xfId="0" applyFont="1" applyBorder="1" applyAlignment="1" applyProtection="1">
      <alignment vertical="center"/>
      <protection hidden="1"/>
    </xf>
    <xf numFmtId="0" fontId="12" fillId="0" borderId="15" xfId="0" applyFont="1" applyBorder="1" applyAlignment="1" applyProtection="1">
      <alignment vertical="center"/>
      <protection hidden="1"/>
    </xf>
    <xf numFmtId="0" fontId="12" fillId="2" borderId="54" xfId="0" applyFont="1" applyFill="1" applyBorder="1" applyAlignment="1" applyProtection="1">
      <alignment horizontal="center"/>
      <protection locked="0" hidden="1"/>
    </xf>
    <xf numFmtId="0" fontId="16" fillId="0" borderId="15" xfId="0" applyFont="1" applyBorder="1" applyAlignment="1" applyProtection="1">
      <alignment vertical="center"/>
      <protection hidden="1"/>
    </xf>
    <xf numFmtId="0" fontId="16" fillId="0" borderId="15" xfId="0" applyFont="1" applyBorder="1" applyAlignment="1" applyProtection="1">
      <alignment vertical="center" readingOrder="1"/>
      <protection hidden="1"/>
    </xf>
    <xf numFmtId="0" fontId="16" fillId="0" borderId="65" xfId="0" applyFont="1" applyBorder="1" applyAlignment="1" applyProtection="1">
      <alignment vertical="center"/>
      <protection hidden="1"/>
    </xf>
    <xf numFmtId="0" fontId="12" fillId="2" borderId="54" xfId="0" applyFont="1" applyFill="1" applyBorder="1" applyAlignment="1" applyProtection="1">
      <alignment vertical="center"/>
      <protection locked="0" hidden="1"/>
    </xf>
    <xf numFmtId="0" fontId="12" fillId="2" borderId="55" xfId="0" applyFont="1" applyFill="1" applyBorder="1" applyAlignment="1" applyProtection="1">
      <alignment vertical="center"/>
      <protection locked="0" hidden="1"/>
    </xf>
    <xf numFmtId="0" fontId="16" fillId="0" borderId="56" xfId="0" applyFont="1" applyBorder="1" applyAlignment="1" applyProtection="1">
      <alignment vertical="center"/>
      <protection hidden="1"/>
    </xf>
    <xf numFmtId="0" fontId="16" fillId="0" borderId="6" xfId="0" applyFont="1" applyBorder="1" applyAlignment="1" applyProtection="1">
      <alignment vertical="center" readingOrder="1"/>
      <protection hidden="1"/>
    </xf>
    <xf numFmtId="0" fontId="12" fillId="0" borderId="56" xfId="0" applyFont="1" applyBorder="1" applyAlignment="1" applyProtection="1">
      <alignment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12" fillId="0" borderId="24" xfId="0" applyFont="1" applyBorder="1" applyAlignment="1" applyProtection="1">
      <alignment vertical="center"/>
      <protection hidden="1"/>
    </xf>
    <xf numFmtId="0" fontId="12" fillId="2" borderId="58" xfId="0" applyFont="1" applyFill="1" applyBorder="1" applyAlignment="1" applyProtection="1">
      <alignment vertical="center"/>
      <protection locked="0" hidden="1"/>
    </xf>
    <xf numFmtId="0" fontId="12" fillId="2" borderId="59" xfId="0" applyFont="1" applyFill="1" applyBorder="1" applyAlignment="1" applyProtection="1">
      <alignment vertical="center"/>
      <protection locked="0" hidden="1"/>
    </xf>
    <xf numFmtId="0" fontId="20" fillId="0" borderId="59" xfId="0" applyFont="1" applyBorder="1" applyAlignment="1" applyProtection="1">
      <alignment horizontal="center" vertical="center"/>
      <protection hidden="1"/>
    </xf>
    <xf numFmtId="0" fontId="12" fillId="2" borderId="60" xfId="0" applyFont="1" applyFill="1" applyBorder="1" applyAlignment="1" applyProtection="1">
      <alignment horizontal="left" vertical="center"/>
      <protection locked="0" hidden="1"/>
    </xf>
    <xf numFmtId="0" fontId="12" fillId="2" borderId="61" xfId="0" applyFont="1" applyFill="1" applyBorder="1" applyAlignment="1" applyProtection="1">
      <alignment horizontal="center" vertical="center"/>
      <protection locked="0" hidden="1"/>
    </xf>
    <xf numFmtId="0" fontId="12" fillId="2" borderId="62" xfId="0" applyFont="1" applyFill="1" applyBorder="1" applyAlignment="1" applyProtection="1">
      <alignment horizontal="center" vertical="center"/>
      <protection locked="0" hidden="1"/>
    </xf>
    <xf numFmtId="0" fontId="12" fillId="2" borderId="60" xfId="0" applyFont="1" applyFill="1" applyBorder="1" applyAlignment="1" applyProtection="1">
      <alignment horizontal="center" vertical="center"/>
      <protection locked="0" hidden="1"/>
    </xf>
    <xf numFmtId="0" fontId="12" fillId="0" borderId="61" xfId="0" applyFont="1" applyBorder="1" applyAlignment="1" applyProtection="1">
      <alignment vertical="center"/>
      <protection hidden="1"/>
    </xf>
    <xf numFmtId="0" fontId="12" fillId="2" borderId="91" xfId="0" applyFont="1" applyFill="1" applyBorder="1" applyAlignment="1" applyProtection="1">
      <alignment vertical="center"/>
      <protection locked="0" hidden="1"/>
    </xf>
    <xf numFmtId="0" fontId="12" fillId="2" borderId="87" xfId="0" applyFont="1" applyFill="1" applyBorder="1" applyAlignment="1" applyProtection="1">
      <alignment vertical="center"/>
      <protection locked="0" hidden="1"/>
    </xf>
    <xf numFmtId="0" fontId="20" fillId="0" borderId="87" xfId="0" applyFont="1" applyBorder="1" applyAlignment="1" applyProtection="1">
      <alignment horizontal="center" vertical="center"/>
      <protection hidden="1"/>
    </xf>
    <xf numFmtId="0" fontId="12" fillId="2" borderId="83" xfId="0" applyFont="1" applyFill="1" applyBorder="1" applyAlignment="1" applyProtection="1">
      <alignment horizontal="left" vertical="center"/>
      <protection locked="0" hidden="1"/>
    </xf>
    <xf numFmtId="0" fontId="12" fillId="2" borderId="88" xfId="0" applyFont="1" applyFill="1" applyBorder="1" applyAlignment="1" applyProtection="1">
      <alignment horizontal="center" vertical="center"/>
      <protection locked="0" hidden="1"/>
    </xf>
    <xf numFmtId="0" fontId="12" fillId="2" borderId="89" xfId="0" applyFont="1" applyFill="1" applyBorder="1" applyAlignment="1" applyProtection="1">
      <alignment horizontal="center" vertical="center"/>
      <protection locked="0" hidden="1"/>
    </xf>
    <xf numFmtId="0" fontId="12" fillId="2" borderId="83" xfId="0" applyFont="1" applyFill="1" applyBorder="1" applyAlignment="1" applyProtection="1">
      <alignment horizontal="center" vertical="center"/>
      <protection locked="0" hidden="1"/>
    </xf>
    <xf numFmtId="0" fontId="12" fillId="0" borderId="88" xfId="0" applyFont="1" applyBorder="1" applyAlignment="1" applyProtection="1">
      <alignment vertical="center"/>
      <protection hidden="1"/>
    </xf>
    <xf numFmtId="0" fontId="12" fillId="2" borderId="90" xfId="0" applyFont="1" applyFill="1" applyBorder="1" applyAlignment="1" applyProtection="1">
      <alignment vertical="center"/>
      <protection locked="0" hidden="1"/>
    </xf>
    <xf numFmtId="0" fontId="20" fillId="0" borderId="87" xfId="0" applyFont="1" applyBorder="1" applyAlignment="1" applyProtection="1">
      <alignment horizontal="center" vertical="top"/>
      <protection hidden="1"/>
    </xf>
    <xf numFmtId="0" fontId="12" fillId="2" borderId="65" xfId="0" applyFont="1" applyFill="1" applyBorder="1" applyAlignment="1" applyProtection="1">
      <alignment vertical="center"/>
      <protection locked="0" hidden="1"/>
    </xf>
    <xf numFmtId="0" fontId="20" fillId="0" borderId="65" xfId="0" applyFont="1" applyBorder="1" applyAlignment="1" applyProtection="1">
      <alignment horizontal="center" vertical="center"/>
      <protection hidden="1"/>
    </xf>
    <xf numFmtId="0" fontId="12" fillId="2" borderId="66" xfId="0" applyFont="1" applyFill="1" applyBorder="1" applyAlignment="1" applyProtection="1">
      <alignment horizontal="left" vertical="center"/>
      <protection locked="0" hidden="1"/>
    </xf>
    <xf numFmtId="0" fontId="12" fillId="2" borderId="67" xfId="0" applyFont="1" applyFill="1" applyBorder="1" applyAlignment="1" applyProtection="1">
      <alignment horizontal="center" vertical="center"/>
      <protection locked="0" hidden="1"/>
    </xf>
    <xf numFmtId="0" fontId="12" fillId="2" borderId="68" xfId="0" applyFont="1" applyFill="1" applyBorder="1" applyAlignment="1" applyProtection="1">
      <alignment horizontal="center" vertical="center"/>
      <protection locked="0" hidden="1"/>
    </xf>
    <xf numFmtId="0" fontId="12" fillId="2" borderId="66" xfId="0" applyFont="1" applyFill="1" applyBorder="1" applyAlignment="1" applyProtection="1">
      <alignment horizontal="center" vertical="center"/>
      <protection locked="0" hidden="1"/>
    </xf>
    <xf numFmtId="0" fontId="12" fillId="0" borderId="67" xfId="0" applyFont="1" applyBorder="1" applyAlignment="1" applyProtection="1">
      <alignment vertical="center"/>
      <protection hidden="1"/>
    </xf>
    <xf numFmtId="0" fontId="16" fillId="0" borderId="3" xfId="0" applyFont="1" applyBorder="1" applyAlignment="1" applyProtection="1">
      <alignment vertical="center"/>
      <protection hidden="1"/>
    </xf>
    <xf numFmtId="0" fontId="18" fillId="0" borderId="16" xfId="0" applyFont="1" applyBorder="1" applyAlignment="1" applyProtection="1">
      <alignment vertical="center"/>
      <protection hidden="1"/>
    </xf>
    <xf numFmtId="0" fontId="12" fillId="0" borderId="18" xfId="0" applyFont="1" applyBorder="1" applyAlignment="1" applyProtection="1">
      <alignment vertical="center"/>
      <protection hidden="1"/>
    </xf>
    <xf numFmtId="0" fontId="12" fillId="2" borderId="64" xfId="0" applyFont="1" applyFill="1" applyBorder="1" applyAlignment="1" applyProtection="1">
      <alignment vertical="center"/>
      <protection hidden="1"/>
    </xf>
    <xf numFmtId="0" fontId="12" fillId="2" borderId="69" xfId="0" applyFont="1" applyFill="1" applyBorder="1" applyAlignment="1" applyProtection="1">
      <alignment vertical="center"/>
      <protection locked="0" hidden="1"/>
    </xf>
    <xf numFmtId="0" fontId="12" fillId="2" borderId="49" xfId="0" applyFont="1" applyFill="1" applyBorder="1" applyAlignment="1" applyProtection="1">
      <alignment vertical="center"/>
      <protection hidden="1"/>
    </xf>
    <xf numFmtId="0" fontId="12" fillId="2" borderId="53" xfId="0" applyFont="1" applyFill="1" applyBorder="1" applyAlignment="1" applyProtection="1">
      <alignment vertical="center"/>
      <protection locked="0" hidden="1"/>
    </xf>
    <xf numFmtId="0" fontId="12" fillId="2" borderId="58" xfId="0" applyFont="1" applyFill="1" applyBorder="1" applyAlignment="1" applyProtection="1">
      <alignment vertical="center"/>
      <protection hidden="1"/>
    </xf>
    <xf numFmtId="0" fontId="12" fillId="2" borderId="63" xfId="0" applyFont="1" applyFill="1" applyBorder="1" applyAlignment="1" applyProtection="1">
      <alignment vertical="center"/>
      <protection locked="0" hidden="1"/>
    </xf>
    <xf numFmtId="0" fontId="12" fillId="2" borderId="70" xfId="0" applyFont="1" applyFill="1" applyBorder="1" applyAlignment="1" applyProtection="1">
      <alignment vertical="center"/>
      <protection locked="0" hidden="1"/>
    </xf>
    <xf numFmtId="0" fontId="12" fillId="2" borderId="71" xfId="0" applyFont="1" applyFill="1" applyBorder="1" applyAlignment="1" applyProtection="1">
      <alignment vertical="center"/>
      <protection locked="0" hidden="1"/>
    </xf>
    <xf numFmtId="0" fontId="20" fillId="0" borderId="71" xfId="0" applyFont="1" applyBorder="1" applyAlignment="1" applyProtection="1">
      <alignment horizontal="center" vertical="center"/>
      <protection hidden="1"/>
    </xf>
    <xf numFmtId="0" fontId="12" fillId="2" borderId="72" xfId="0" applyFont="1" applyFill="1" applyBorder="1" applyAlignment="1" applyProtection="1">
      <alignment horizontal="left" vertical="center"/>
      <protection locked="0" hidden="1"/>
    </xf>
    <xf numFmtId="0" fontId="12" fillId="2" borderId="73" xfId="0" applyFont="1" applyFill="1" applyBorder="1" applyAlignment="1" applyProtection="1">
      <alignment horizontal="center" vertical="center"/>
      <protection locked="0" hidden="1"/>
    </xf>
    <xf numFmtId="0" fontId="12" fillId="2" borderId="74" xfId="0" applyFont="1" applyFill="1" applyBorder="1" applyAlignment="1" applyProtection="1">
      <alignment horizontal="center" vertical="center"/>
      <protection locked="0" hidden="1"/>
    </xf>
    <xf numFmtId="0" fontId="12" fillId="2" borderId="72" xfId="0" applyFont="1" applyFill="1" applyBorder="1" applyAlignment="1" applyProtection="1">
      <alignment horizontal="center" vertical="center"/>
      <protection locked="0" hidden="1"/>
    </xf>
    <xf numFmtId="0" fontId="12" fillId="0" borderId="73" xfId="0" applyFont="1" applyBorder="1" applyAlignment="1" applyProtection="1">
      <alignment vertical="center"/>
      <protection hidden="1"/>
    </xf>
    <xf numFmtId="0" fontId="18" fillId="0" borderId="75" xfId="0" applyFont="1" applyBorder="1" applyAlignment="1" applyProtection="1">
      <alignment vertical="center"/>
      <protection hidden="1"/>
    </xf>
    <xf numFmtId="0" fontId="12" fillId="0" borderId="76" xfId="0" applyFont="1" applyBorder="1" applyAlignment="1" applyProtection="1">
      <alignment vertical="center"/>
      <protection hidden="1"/>
    </xf>
    <xf numFmtId="0" fontId="20" fillId="0" borderId="76" xfId="0" applyFont="1" applyBorder="1" applyAlignment="1" applyProtection="1">
      <alignment horizontal="center" vertical="center"/>
      <protection hidden="1"/>
    </xf>
    <xf numFmtId="0" fontId="19" fillId="0" borderId="76" xfId="0" applyFont="1" applyBorder="1" applyAlignment="1" applyProtection="1">
      <alignment vertical="center"/>
      <protection hidden="1"/>
    </xf>
    <xf numFmtId="0" fontId="12" fillId="0" borderId="77" xfId="0" applyFont="1" applyBorder="1" applyAlignment="1" applyProtection="1">
      <alignment horizontal="left" vertical="center"/>
      <protection hidden="1"/>
    </xf>
    <xf numFmtId="0" fontId="18" fillId="0" borderId="75" xfId="0" applyFont="1" applyBorder="1" applyAlignment="1" applyProtection="1">
      <alignment horizontal="center" vertical="center"/>
      <protection hidden="1"/>
    </xf>
    <xf numFmtId="0" fontId="12" fillId="0" borderId="76" xfId="0" applyFont="1" applyBorder="1" applyAlignment="1" applyProtection="1">
      <alignment horizontal="center" vertical="center"/>
      <protection hidden="1"/>
    </xf>
    <xf numFmtId="0" fontId="15" fillId="2" borderId="25" xfId="0" applyFont="1" applyFill="1" applyBorder="1" applyAlignment="1" applyProtection="1">
      <alignment vertical="top"/>
      <protection locked="0" hidden="1"/>
    </xf>
    <xf numFmtId="0" fontId="12" fillId="2" borderId="26" xfId="0" applyFont="1" applyFill="1" applyBorder="1" applyAlignment="1" applyProtection="1">
      <alignment vertical="center"/>
      <protection locked="0" hidden="1"/>
    </xf>
    <xf numFmtId="0" fontId="12" fillId="2" borderId="28" xfId="0" applyFont="1" applyFill="1" applyBorder="1" applyAlignment="1" applyProtection="1">
      <alignment vertical="center"/>
      <protection locked="0" hidden="1"/>
    </xf>
    <xf numFmtId="0" fontId="15" fillId="2" borderId="30" xfId="0" applyFont="1" applyFill="1" applyBorder="1" applyAlignment="1" applyProtection="1">
      <alignment vertical="top"/>
      <protection locked="0" hidden="1"/>
    </xf>
    <xf numFmtId="0" fontId="12" fillId="2" borderId="28" xfId="0" applyFont="1" applyFill="1" applyBorder="1" applyAlignment="1" applyProtection="1">
      <alignment horizontal="left" vertical="center"/>
      <protection locked="0" hidden="1"/>
    </xf>
    <xf numFmtId="0" fontId="15" fillId="2" borderId="30" xfId="0" applyFont="1" applyFill="1" applyBorder="1" applyAlignment="1" applyProtection="1">
      <alignment horizontal="center" vertical="top"/>
      <protection locked="0" hidden="1"/>
    </xf>
    <xf numFmtId="0" fontId="12" fillId="2" borderId="26" xfId="0" applyFont="1" applyFill="1" applyBorder="1" applyAlignment="1" applyProtection="1">
      <alignment horizontal="center" vertical="center"/>
      <protection locked="0" hidden="1"/>
    </xf>
    <xf numFmtId="0" fontId="12" fillId="2" borderId="27" xfId="0" applyFont="1" applyFill="1" applyBorder="1" applyAlignment="1" applyProtection="1">
      <alignment horizontal="center" vertical="center"/>
      <protection locked="0" hidden="1"/>
    </xf>
    <xf numFmtId="0" fontId="12" fillId="2" borderId="32" xfId="0" applyFont="1" applyFill="1" applyBorder="1" applyAlignment="1" applyProtection="1">
      <alignment vertical="center"/>
      <protection locked="0" hidden="1"/>
    </xf>
    <xf numFmtId="0" fontId="12" fillId="2" borderId="0" xfId="0" applyFont="1" applyFill="1" applyAlignment="1" applyProtection="1">
      <alignment vertical="center"/>
      <protection locked="0" hidden="1"/>
    </xf>
    <xf numFmtId="0" fontId="12" fillId="2" borderId="9" xfId="0" applyFont="1" applyFill="1" applyBorder="1" applyAlignment="1" applyProtection="1">
      <alignment vertical="center"/>
      <protection locked="0" hidden="1"/>
    </xf>
    <xf numFmtId="0" fontId="12" fillId="2" borderId="8" xfId="0" applyFont="1" applyFill="1" applyBorder="1" applyAlignment="1" applyProtection="1">
      <alignment vertical="center"/>
      <protection locked="0" hidden="1"/>
    </xf>
    <xf numFmtId="0" fontId="12" fillId="2" borderId="0" xfId="0" applyFont="1" applyFill="1" applyAlignment="1" applyProtection="1">
      <alignment horizontal="left" vertical="center"/>
      <protection locked="0" hidden="1"/>
    </xf>
    <xf numFmtId="0" fontId="12" fillId="2" borderId="0" xfId="0" applyFont="1" applyFill="1" applyAlignment="1" applyProtection="1">
      <alignment horizontal="center" vertical="center"/>
      <protection locked="0" hidden="1"/>
    </xf>
    <xf numFmtId="0" fontId="12" fillId="2" borderId="33" xfId="0" applyFont="1" applyFill="1" applyBorder="1" applyAlignment="1" applyProtection="1">
      <alignment horizontal="center" vertical="center"/>
      <protection locked="0" hidden="1"/>
    </xf>
    <xf numFmtId="0" fontId="21" fillId="2" borderId="78" xfId="0" applyFont="1" applyFill="1" applyBorder="1" applyProtection="1">
      <protection locked="0" hidden="1"/>
    </xf>
    <xf numFmtId="0" fontId="21" fillId="2" borderId="14" xfId="0" applyFont="1" applyFill="1" applyBorder="1" applyAlignment="1" applyProtection="1">
      <alignment vertical="center"/>
      <protection locked="0" hidden="1"/>
    </xf>
    <xf numFmtId="0" fontId="21" fillId="2" borderId="14" xfId="0" applyFont="1" applyFill="1" applyBorder="1" applyProtection="1">
      <protection locked="0" hidden="1"/>
    </xf>
    <xf numFmtId="0" fontId="21" fillId="2" borderId="79" xfId="0" applyFont="1" applyFill="1" applyBorder="1" applyAlignment="1" applyProtection="1">
      <alignment vertical="center"/>
      <protection locked="0" hidden="1"/>
    </xf>
    <xf numFmtId="0" fontId="21" fillId="2" borderId="80" xfId="0" applyFont="1" applyFill="1" applyBorder="1" applyProtection="1">
      <protection locked="0" hidden="1"/>
    </xf>
    <xf numFmtId="0" fontId="21" fillId="2" borderId="79" xfId="0" applyFont="1" applyFill="1" applyBorder="1" applyAlignment="1" applyProtection="1">
      <alignment horizontal="left" vertical="center"/>
      <protection locked="0" hidden="1"/>
    </xf>
    <xf numFmtId="0" fontId="21" fillId="2" borderId="80" xfId="0" applyFont="1" applyFill="1" applyBorder="1" applyAlignment="1" applyProtection="1">
      <alignment horizontal="center"/>
      <protection locked="0" hidden="1"/>
    </xf>
    <xf numFmtId="0" fontId="12" fillId="2" borderId="14" xfId="0" applyFont="1" applyFill="1" applyBorder="1" applyAlignment="1" applyProtection="1">
      <alignment horizontal="center" vertical="center"/>
      <protection locked="0" hidden="1"/>
    </xf>
    <xf numFmtId="0" fontId="12" fillId="2" borderId="14" xfId="0" applyFont="1" applyFill="1" applyBorder="1" applyAlignment="1" applyProtection="1">
      <alignment vertical="center"/>
      <protection locked="0" hidden="1"/>
    </xf>
    <xf numFmtId="0" fontId="12" fillId="2" borderId="81" xfId="0" applyFont="1" applyFill="1" applyBorder="1" applyAlignment="1" applyProtection="1">
      <alignment horizontal="center" vertical="center"/>
      <protection locked="0" hidden="1"/>
    </xf>
    <xf numFmtId="0" fontId="1" fillId="2" borderId="96" xfId="0" applyFont="1" applyFill="1" applyBorder="1" applyAlignment="1" applyProtection="1">
      <alignment horizontal="center" vertical="center"/>
      <protection hidden="1"/>
    </xf>
    <xf numFmtId="0" fontId="9" fillId="2" borderId="96" xfId="0" applyFont="1" applyFill="1" applyBorder="1" applyAlignment="1" applyProtection="1">
      <alignment horizontal="center" vertical="center"/>
      <protection hidden="1"/>
    </xf>
    <xf numFmtId="0" fontId="10" fillId="2" borderId="96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" fillId="2" borderId="97" xfId="0" applyFont="1" applyFill="1" applyBorder="1" applyAlignment="1" applyProtection="1">
      <alignment horizontal="center" vertical="center"/>
      <protection hidden="1"/>
    </xf>
    <xf numFmtId="0" fontId="0" fillId="2" borderId="97" xfId="0" applyFill="1" applyBorder="1" applyAlignment="1" applyProtection="1">
      <alignment horizontal="center" vertical="center"/>
      <protection hidden="1"/>
    </xf>
    <xf numFmtId="0" fontId="28" fillId="0" borderId="96" xfId="0" applyFont="1" applyBorder="1" applyAlignment="1" applyProtection="1">
      <alignment horizontal="center" vertical="center"/>
      <protection locked="0" hidden="1"/>
    </xf>
    <xf numFmtId="0" fontId="0" fillId="0" borderId="97" xfId="0" applyBorder="1" applyAlignment="1" applyProtection="1">
      <alignment horizontal="center" vertical="center"/>
      <protection locked="0" hidden="1"/>
    </xf>
    <xf numFmtId="0" fontId="28" fillId="0" borderId="97" xfId="0" applyFont="1" applyBorder="1" applyAlignment="1" applyProtection="1">
      <alignment horizontal="center" vertical="center"/>
      <protection locked="0" hidden="1"/>
    </xf>
    <xf numFmtId="0" fontId="1" fillId="2" borderId="95" xfId="0" applyFont="1" applyFill="1" applyBorder="1" applyAlignment="1" applyProtection="1">
      <alignment horizontal="center" vertical="center"/>
      <protection hidden="1"/>
    </xf>
    <xf numFmtId="0" fontId="0" fillId="0" borderId="95" xfId="0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12" fillId="2" borderId="30" xfId="0" applyFont="1" applyFill="1" applyBorder="1" applyAlignment="1" applyProtection="1">
      <alignment vertical="center"/>
      <protection locked="0" hidden="1"/>
    </xf>
    <xf numFmtId="0" fontId="21" fillId="2" borderId="80" xfId="0" applyFont="1" applyFill="1" applyBorder="1" applyAlignment="1" applyProtection="1">
      <alignment vertical="center"/>
      <protection locked="0" hidden="1"/>
    </xf>
    <xf numFmtId="0" fontId="12" fillId="0" borderId="9" xfId="0" applyFont="1" applyBorder="1" applyAlignment="1" applyProtection="1">
      <alignment vertical="center"/>
      <protection hidden="1"/>
    </xf>
    <xf numFmtId="0" fontId="12" fillId="0" borderId="32" xfId="0" applyFont="1" applyBorder="1" applyAlignment="1" applyProtection="1">
      <alignment vertical="center"/>
      <protection hidden="1"/>
    </xf>
    <xf numFmtId="0" fontId="12" fillId="0" borderId="33" xfId="0" applyFont="1" applyBorder="1" applyAlignment="1" applyProtection="1">
      <alignment vertical="center"/>
      <protection hidden="1"/>
    </xf>
    <xf numFmtId="0" fontId="12" fillId="0" borderId="77" xfId="0" applyFont="1" applyBorder="1" applyAlignment="1" applyProtection="1">
      <alignment vertical="center"/>
      <protection hidden="1"/>
    </xf>
    <xf numFmtId="0" fontId="15" fillId="0" borderId="25" xfId="0" applyFont="1" applyBorder="1" applyAlignment="1" applyProtection="1">
      <alignment vertical="top"/>
      <protection hidden="1"/>
    </xf>
    <xf numFmtId="0" fontId="12" fillId="0" borderId="26" xfId="0" applyFont="1" applyBorder="1" applyAlignment="1" applyProtection="1">
      <alignment vertical="center"/>
      <protection hidden="1"/>
    </xf>
    <xf numFmtId="0" fontId="12" fillId="0" borderId="28" xfId="0" applyFont="1" applyBorder="1" applyAlignment="1" applyProtection="1">
      <alignment vertical="center"/>
      <protection hidden="1"/>
    </xf>
    <xf numFmtId="0" fontId="15" fillId="0" borderId="30" xfId="0" applyFont="1" applyBorder="1" applyAlignment="1" applyProtection="1">
      <alignment vertical="top"/>
      <protection hidden="1"/>
    </xf>
    <xf numFmtId="0" fontId="12" fillId="0" borderId="27" xfId="0" applyFont="1" applyBorder="1" applyAlignment="1" applyProtection="1">
      <alignment vertical="center"/>
      <protection hidden="1"/>
    </xf>
    <xf numFmtId="0" fontId="21" fillId="0" borderId="78" xfId="0" applyFont="1" applyBorder="1" applyProtection="1">
      <protection hidden="1"/>
    </xf>
    <xf numFmtId="0" fontId="21" fillId="0" borderId="14" xfId="0" applyFont="1" applyBorder="1" applyAlignment="1" applyProtection="1">
      <alignment vertical="center"/>
      <protection hidden="1"/>
    </xf>
    <xf numFmtId="0" fontId="21" fillId="0" borderId="14" xfId="0" applyFont="1" applyBorder="1" applyProtection="1">
      <protection hidden="1"/>
    </xf>
    <xf numFmtId="0" fontId="21" fillId="0" borderId="79" xfId="0" applyFont="1" applyBorder="1" applyAlignment="1" applyProtection="1">
      <alignment vertical="center"/>
      <protection hidden="1"/>
    </xf>
    <xf numFmtId="0" fontId="21" fillId="0" borderId="80" xfId="0" applyFont="1" applyBorder="1" applyProtection="1">
      <protection hidden="1"/>
    </xf>
    <xf numFmtId="0" fontId="12" fillId="0" borderId="14" xfId="0" applyFont="1" applyBorder="1" applyAlignment="1" applyProtection="1">
      <alignment vertical="center"/>
      <protection hidden="1"/>
    </xf>
    <xf numFmtId="0" fontId="12" fillId="0" borderId="81" xfId="0" applyFont="1" applyBorder="1" applyAlignment="1" applyProtection="1">
      <alignment vertical="center"/>
      <protection hidden="1"/>
    </xf>
    <xf numFmtId="0" fontId="11" fillId="0" borderId="75" xfId="0" applyFont="1" applyBorder="1" applyAlignment="1" applyProtection="1">
      <alignment vertical="center"/>
      <protection hidden="1"/>
    </xf>
    <xf numFmtId="20" fontId="22" fillId="0" borderId="26" xfId="0" applyNumberFormat="1" applyFont="1" applyBorder="1" applyAlignment="1" applyProtection="1">
      <alignment vertical="center"/>
      <protection hidden="1"/>
    </xf>
    <xf numFmtId="0" fontId="11" fillId="0" borderId="78" xfId="0" applyFont="1" applyBorder="1" applyAlignment="1" applyProtection="1">
      <alignment vertical="center"/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12" fillId="6" borderId="103" xfId="0" applyFont="1" applyFill="1" applyBorder="1" applyAlignment="1" applyProtection="1">
      <alignment vertical="center"/>
      <protection hidden="1"/>
    </xf>
    <xf numFmtId="0" fontId="12" fillId="6" borderId="104" xfId="0" applyFont="1" applyFill="1" applyBorder="1" applyAlignment="1" applyProtection="1">
      <alignment vertical="center"/>
      <protection hidden="1"/>
    </xf>
    <xf numFmtId="0" fontId="12" fillId="6" borderId="105" xfId="0" applyFont="1" applyFill="1" applyBorder="1" applyAlignment="1" applyProtection="1">
      <alignment vertical="center"/>
      <protection hidden="1"/>
    </xf>
    <xf numFmtId="0" fontId="12" fillId="6" borderId="106" xfId="0" applyFont="1" applyFill="1" applyBorder="1" applyAlignment="1" applyProtection="1">
      <alignment vertical="center"/>
      <protection hidden="1"/>
    </xf>
    <xf numFmtId="0" fontId="12" fillId="6" borderId="107" xfId="0" applyFont="1" applyFill="1" applyBorder="1" applyAlignment="1" applyProtection="1">
      <alignment vertical="center"/>
      <protection hidden="1"/>
    </xf>
    <xf numFmtId="0" fontId="12" fillId="6" borderId="108" xfId="0" applyFont="1" applyFill="1" applyBorder="1" applyAlignment="1" applyProtection="1">
      <alignment vertical="center"/>
      <protection hidden="1"/>
    </xf>
    <xf numFmtId="0" fontId="12" fillId="6" borderId="109" xfId="0" applyFont="1" applyFill="1" applyBorder="1" applyAlignment="1" applyProtection="1">
      <alignment vertical="center"/>
      <protection hidden="1"/>
    </xf>
    <xf numFmtId="0" fontId="12" fillId="6" borderId="110" xfId="0" applyFont="1" applyFill="1" applyBorder="1" applyAlignment="1" applyProtection="1">
      <alignment vertical="center"/>
      <protection hidden="1"/>
    </xf>
    <xf numFmtId="0" fontId="12" fillId="6" borderId="111" xfId="0" applyFont="1" applyFill="1" applyBorder="1" applyAlignment="1" applyProtection="1">
      <alignment vertical="center"/>
      <protection hidden="1"/>
    </xf>
    <xf numFmtId="0" fontId="6" fillId="0" borderId="100" xfId="0" applyFont="1" applyBorder="1" applyAlignment="1" applyProtection="1">
      <alignment horizontal="center" vertical="center"/>
      <protection locked="0" hidden="1"/>
    </xf>
    <xf numFmtId="0" fontId="6" fillId="0" borderId="86" xfId="0" applyFont="1" applyBorder="1" applyAlignment="1" applyProtection="1">
      <alignment horizontal="center" vertical="center"/>
      <protection locked="0" hidden="1"/>
    </xf>
    <xf numFmtId="0" fontId="6" fillId="0" borderId="87" xfId="0" applyFont="1" applyBorder="1" applyAlignment="1" applyProtection="1">
      <alignment horizontal="center" vertical="center"/>
      <protection locked="0" hidden="1"/>
    </xf>
    <xf numFmtId="0" fontId="6" fillId="0" borderId="83" xfId="0" applyFont="1" applyBorder="1" applyAlignment="1" applyProtection="1">
      <alignment horizontal="center" vertical="center"/>
      <protection locked="0" hidden="1"/>
    </xf>
    <xf numFmtId="0" fontId="12" fillId="0" borderId="64" xfId="0" applyFont="1" applyBorder="1" applyAlignment="1" applyProtection="1">
      <alignment vertical="center"/>
      <protection hidden="1"/>
    </xf>
    <xf numFmtId="0" fontId="12" fillId="0" borderId="49" xfId="0" applyFont="1" applyBorder="1" applyAlignment="1" applyProtection="1">
      <alignment vertical="center"/>
      <protection hidden="1"/>
    </xf>
    <xf numFmtId="0" fontId="12" fillId="0" borderId="58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 readingOrder="1"/>
      <protection hidden="1"/>
    </xf>
    <xf numFmtId="0" fontId="12" fillId="0" borderId="15" xfId="0" applyFont="1" applyBorder="1" applyAlignment="1" applyProtection="1">
      <alignment horizontal="center" vertical="center"/>
      <protection hidden="1"/>
    </xf>
    <xf numFmtId="0" fontId="28" fillId="3" borderId="10" xfId="1" applyFont="1" applyFill="1" applyBorder="1" applyAlignment="1" applyProtection="1">
      <alignment horizontal="center" vertical="center"/>
      <protection hidden="1"/>
    </xf>
    <xf numFmtId="20" fontId="3" fillId="0" borderId="0" xfId="0" applyNumberFormat="1" applyFont="1" applyProtection="1">
      <protection hidden="1"/>
    </xf>
    <xf numFmtId="0" fontId="6" fillId="0" borderId="87" xfId="0" applyFont="1" applyBorder="1" applyAlignment="1" applyProtection="1">
      <alignment horizontal="center"/>
      <protection locked="0" hidden="1"/>
    </xf>
    <xf numFmtId="0" fontId="6" fillId="0" borderId="0" xfId="0" applyFont="1" applyProtection="1">
      <protection locked="0" hidden="1"/>
    </xf>
    <xf numFmtId="0" fontId="12" fillId="0" borderId="22" xfId="0" applyFont="1" applyBorder="1" applyAlignment="1" applyProtection="1">
      <alignment horizontal="left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12" fillId="0" borderId="24" xfId="0" applyFont="1" applyBorder="1" applyAlignment="1" applyProtection="1">
      <alignment horizontal="center" vertical="center"/>
      <protection hidden="1"/>
    </xf>
    <xf numFmtId="0" fontId="12" fillId="0" borderId="42" xfId="0" applyFont="1" applyBorder="1" applyAlignment="1" applyProtection="1">
      <alignment vertical="center"/>
      <protection hidden="1"/>
    </xf>
    <xf numFmtId="0" fontId="12" fillId="0" borderId="44" xfId="0" applyFont="1" applyBorder="1" applyAlignment="1" applyProtection="1">
      <alignment horizontal="left" vertical="center"/>
      <protection hidden="1"/>
    </xf>
    <xf numFmtId="0" fontId="12" fillId="0" borderId="44" xfId="0" applyFont="1" applyBorder="1" applyAlignment="1" applyProtection="1">
      <alignment horizontal="center" vertical="center"/>
      <protection hidden="1"/>
    </xf>
    <xf numFmtId="0" fontId="12" fillId="0" borderId="48" xfId="0" applyFont="1" applyBorder="1" applyAlignment="1" applyProtection="1">
      <alignment horizontal="center"/>
      <protection hidden="1"/>
    </xf>
    <xf numFmtId="0" fontId="12" fillId="0" borderId="50" xfId="0" applyFont="1" applyBorder="1" applyAlignment="1" applyProtection="1">
      <alignment horizontal="left" vertical="center"/>
      <protection hidden="1"/>
    </xf>
    <xf numFmtId="0" fontId="12" fillId="0" borderId="52" xfId="0" applyFont="1" applyBorder="1" applyAlignment="1" applyProtection="1">
      <alignment horizontal="center" vertical="center"/>
      <protection hidden="1"/>
    </xf>
    <xf numFmtId="0" fontId="12" fillId="0" borderId="50" xfId="0" applyFont="1" applyBorder="1" applyAlignment="1" applyProtection="1">
      <alignment horizontal="center" vertical="center"/>
      <protection hidden="1"/>
    </xf>
    <xf numFmtId="0" fontId="12" fillId="0" borderId="54" xfId="0" applyFont="1" applyBorder="1" applyAlignment="1" applyProtection="1">
      <alignment horizontal="center"/>
      <protection hidden="1"/>
    </xf>
    <xf numFmtId="0" fontId="12" fillId="0" borderId="54" xfId="0" applyFont="1" applyBorder="1" applyAlignment="1" applyProtection="1">
      <alignment vertical="center"/>
      <protection hidden="1"/>
    </xf>
    <xf numFmtId="0" fontId="12" fillId="0" borderId="55" xfId="0" applyFont="1" applyBorder="1" applyAlignment="1" applyProtection="1">
      <alignment vertical="center"/>
      <protection hidden="1"/>
    </xf>
    <xf numFmtId="0" fontId="12" fillId="0" borderId="59" xfId="0" applyFont="1" applyBorder="1" applyAlignment="1" applyProtection="1">
      <alignment vertical="center"/>
      <protection hidden="1"/>
    </xf>
    <xf numFmtId="0" fontId="12" fillId="0" borderId="60" xfId="0" applyFont="1" applyBorder="1" applyAlignment="1" applyProtection="1">
      <alignment horizontal="left" vertical="center"/>
      <protection hidden="1"/>
    </xf>
    <xf numFmtId="0" fontId="12" fillId="0" borderId="61" xfId="0" applyFont="1" applyBorder="1" applyAlignment="1" applyProtection="1">
      <alignment horizontal="center" vertical="center"/>
      <protection hidden="1"/>
    </xf>
    <xf numFmtId="0" fontId="12" fillId="0" borderId="62" xfId="0" applyFont="1" applyBorder="1" applyAlignment="1" applyProtection="1">
      <alignment horizontal="center" vertical="center"/>
      <protection hidden="1"/>
    </xf>
    <xf numFmtId="0" fontId="12" fillId="0" borderId="60" xfId="0" applyFont="1" applyBorder="1" applyAlignment="1" applyProtection="1">
      <alignment horizontal="center" vertical="center"/>
      <protection hidden="1"/>
    </xf>
    <xf numFmtId="0" fontId="12" fillId="0" borderId="91" xfId="0" applyFont="1" applyBorder="1" applyAlignment="1" applyProtection="1">
      <alignment vertical="center"/>
      <protection hidden="1"/>
    </xf>
    <xf numFmtId="0" fontId="12" fillId="0" borderId="87" xfId="0" applyFont="1" applyBorder="1" applyAlignment="1" applyProtection="1">
      <alignment vertical="center"/>
      <protection hidden="1"/>
    </xf>
    <xf numFmtId="0" fontId="12" fillId="0" borderId="83" xfId="0" applyFont="1" applyBorder="1" applyAlignment="1" applyProtection="1">
      <alignment horizontal="left" vertical="center"/>
      <protection hidden="1"/>
    </xf>
    <xf numFmtId="0" fontId="12" fillId="0" borderId="88" xfId="0" applyFont="1" applyBorder="1" applyAlignment="1" applyProtection="1">
      <alignment horizontal="center" vertical="center"/>
      <protection hidden="1"/>
    </xf>
    <xf numFmtId="0" fontId="12" fillId="0" borderId="89" xfId="0" applyFont="1" applyBorder="1" applyAlignment="1" applyProtection="1">
      <alignment horizontal="center" vertical="center"/>
      <protection hidden="1"/>
    </xf>
    <xf numFmtId="0" fontId="12" fillId="0" borderId="83" xfId="0" applyFont="1" applyBorder="1" applyAlignment="1" applyProtection="1">
      <alignment horizontal="center" vertical="center"/>
      <protection hidden="1"/>
    </xf>
    <xf numFmtId="0" fontId="12" fillId="0" borderId="90" xfId="0" applyFont="1" applyBorder="1" applyAlignment="1" applyProtection="1">
      <alignment vertical="center"/>
      <protection hidden="1"/>
    </xf>
    <xf numFmtId="0" fontId="12" fillId="0" borderId="66" xfId="0" applyFont="1" applyBorder="1" applyAlignment="1" applyProtection="1">
      <alignment horizontal="left" vertical="center"/>
      <protection hidden="1"/>
    </xf>
    <xf numFmtId="0" fontId="12" fillId="0" borderId="67" xfId="0" applyFont="1" applyBorder="1" applyAlignment="1" applyProtection="1">
      <alignment horizontal="center" vertical="center"/>
      <protection hidden="1"/>
    </xf>
    <xf numFmtId="0" fontId="12" fillId="0" borderId="68" xfId="0" applyFont="1" applyBorder="1" applyAlignment="1" applyProtection="1">
      <alignment horizontal="center" vertical="center"/>
      <protection hidden="1"/>
    </xf>
    <xf numFmtId="0" fontId="12" fillId="0" borderId="66" xfId="0" applyFont="1" applyBorder="1" applyAlignment="1" applyProtection="1">
      <alignment horizontal="center" vertical="center"/>
      <protection hidden="1"/>
    </xf>
    <xf numFmtId="0" fontId="12" fillId="0" borderId="69" xfId="0" applyFont="1" applyBorder="1" applyAlignment="1" applyProtection="1">
      <alignment vertical="center"/>
      <protection hidden="1"/>
    </xf>
    <xf numFmtId="0" fontId="12" fillId="0" borderId="53" xfId="0" applyFont="1" applyBorder="1" applyAlignment="1" applyProtection="1">
      <alignment vertical="center"/>
      <protection hidden="1"/>
    </xf>
    <xf numFmtId="0" fontId="12" fillId="0" borderId="63" xfId="0" applyFont="1" applyBorder="1" applyAlignment="1" applyProtection="1">
      <alignment vertical="center"/>
      <protection hidden="1"/>
    </xf>
    <xf numFmtId="0" fontId="12" fillId="0" borderId="70" xfId="0" applyFont="1" applyBorder="1" applyAlignment="1" applyProtection="1">
      <alignment vertical="center"/>
      <protection hidden="1"/>
    </xf>
    <xf numFmtId="0" fontId="12" fillId="0" borderId="71" xfId="0" applyFont="1" applyBorder="1" applyAlignment="1" applyProtection="1">
      <alignment vertical="center"/>
      <protection hidden="1"/>
    </xf>
    <xf numFmtId="0" fontId="12" fillId="0" borderId="72" xfId="0" applyFont="1" applyBorder="1" applyAlignment="1" applyProtection="1">
      <alignment horizontal="left" vertical="center"/>
      <protection hidden="1"/>
    </xf>
    <xf numFmtId="0" fontId="12" fillId="0" borderId="73" xfId="0" applyFont="1" applyBorder="1" applyAlignment="1" applyProtection="1">
      <alignment horizontal="center" vertical="center"/>
      <protection hidden="1"/>
    </xf>
    <xf numFmtId="0" fontId="12" fillId="0" borderId="74" xfId="0" applyFont="1" applyBorder="1" applyAlignment="1" applyProtection="1">
      <alignment horizontal="center" vertical="center"/>
      <protection hidden="1"/>
    </xf>
    <xf numFmtId="0" fontId="12" fillId="0" borderId="72" xfId="0" applyFont="1" applyBorder="1" applyAlignment="1" applyProtection="1">
      <alignment horizontal="center" vertical="center"/>
      <protection hidden="1"/>
    </xf>
    <xf numFmtId="0" fontId="12" fillId="0" borderId="28" xfId="0" applyFont="1" applyBorder="1" applyAlignment="1" applyProtection="1">
      <alignment horizontal="left" vertical="center"/>
      <protection hidden="1"/>
    </xf>
    <xf numFmtId="0" fontId="15" fillId="0" borderId="30" xfId="0" applyFont="1" applyBorder="1" applyAlignment="1" applyProtection="1">
      <alignment horizontal="center" vertical="top"/>
      <protection hidden="1"/>
    </xf>
    <xf numFmtId="0" fontId="12" fillId="0" borderId="26" xfId="0" applyFont="1" applyBorder="1" applyAlignment="1" applyProtection="1">
      <alignment horizontal="center" vertical="center"/>
      <protection hidden="1"/>
    </xf>
    <xf numFmtId="0" fontId="12" fillId="0" borderId="27" xfId="0" applyFont="1" applyBorder="1" applyAlignment="1" applyProtection="1">
      <alignment horizontal="center" vertical="center"/>
      <protection hidden="1"/>
    </xf>
    <xf numFmtId="0" fontId="12" fillId="0" borderId="33" xfId="0" applyFont="1" applyBorder="1" applyAlignment="1" applyProtection="1">
      <alignment horizontal="center" vertical="center"/>
      <protection hidden="1"/>
    </xf>
    <xf numFmtId="0" fontId="21" fillId="0" borderId="79" xfId="0" applyFont="1" applyBorder="1" applyAlignment="1" applyProtection="1">
      <alignment horizontal="left" vertical="center"/>
      <protection hidden="1"/>
    </xf>
    <xf numFmtId="0" fontId="21" fillId="0" borderId="80" xfId="0" applyFont="1" applyBorder="1" applyAlignment="1" applyProtection="1">
      <alignment horizontal="center"/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2" fillId="0" borderId="81" xfId="0" applyFont="1" applyBorder="1" applyAlignment="1" applyProtection="1">
      <alignment horizontal="center" vertical="center"/>
      <protection hidden="1"/>
    </xf>
    <xf numFmtId="0" fontId="28" fillId="0" borderId="1" xfId="0" applyFont="1" applyBorder="1" applyProtection="1">
      <protection hidden="1"/>
    </xf>
    <xf numFmtId="0" fontId="2" fillId="7" borderId="0" xfId="0" applyFont="1" applyFill="1" applyProtection="1">
      <protection hidden="1"/>
    </xf>
    <xf numFmtId="0" fontId="32" fillId="7" borderId="0" xfId="0" applyFont="1" applyFill="1" applyAlignment="1" applyProtection="1">
      <alignment horizontal="center" vertical="center"/>
      <protection hidden="1"/>
    </xf>
    <xf numFmtId="0" fontId="2" fillId="7" borderId="0" xfId="0" applyFont="1" applyFill="1" applyAlignment="1" applyProtection="1">
      <alignment horizontal="center"/>
      <protection hidden="1"/>
    </xf>
    <xf numFmtId="0" fontId="28" fillId="3" borderId="98" xfId="1" applyFont="1" applyFill="1" applyBorder="1" applyAlignment="1" applyProtection="1">
      <alignment horizontal="center" vertical="center"/>
      <protection hidden="1"/>
    </xf>
    <xf numFmtId="0" fontId="5" fillId="0" borderId="100" xfId="0" applyFont="1" applyBorder="1" applyAlignment="1" applyProtection="1">
      <alignment horizontal="center"/>
      <protection hidden="1"/>
    </xf>
    <xf numFmtId="0" fontId="6" fillId="0" borderId="100" xfId="0" applyFont="1" applyBorder="1" applyAlignment="1" applyProtection="1">
      <alignment horizontal="center"/>
      <protection locked="0" hidden="1"/>
    </xf>
    <xf numFmtId="0" fontId="25" fillId="3" borderId="2" xfId="1" applyFont="1" applyFill="1" applyBorder="1" applyAlignment="1" applyProtection="1">
      <alignment horizontal="center" vertical="center"/>
      <protection hidden="1"/>
    </xf>
    <xf numFmtId="0" fontId="25" fillId="3" borderId="3" xfId="1" applyFont="1" applyFill="1" applyBorder="1" applyAlignment="1" applyProtection="1">
      <alignment horizontal="center" vertical="center"/>
      <protection hidden="1"/>
    </xf>
    <xf numFmtId="0" fontId="25" fillId="3" borderId="4" xfId="1" applyFont="1" applyFill="1" applyBorder="1" applyAlignment="1" applyProtection="1">
      <alignment horizontal="center" vertical="center"/>
      <protection hidden="1"/>
    </xf>
    <xf numFmtId="0" fontId="25" fillId="3" borderId="5" xfId="1" applyFont="1" applyFill="1" applyBorder="1" applyAlignment="1" applyProtection="1">
      <alignment horizontal="center" vertical="center"/>
      <protection hidden="1"/>
    </xf>
    <xf numFmtId="0" fontId="25" fillId="3" borderId="6" xfId="1" applyFont="1" applyFill="1" applyBorder="1" applyAlignment="1" applyProtection="1">
      <alignment horizontal="center" vertical="center"/>
      <protection hidden="1"/>
    </xf>
    <xf numFmtId="0" fontId="25" fillId="3" borderId="38" xfId="1" applyFont="1" applyFill="1" applyBorder="1" applyAlignment="1" applyProtection="1">
      <alignment horizontal="center" vertical="center"/>
      <protection hidden="1"/>
    </xf>
    <xf numFmtId="0" fontId="30" fillId="3" borderId="2" xfId="1" applyFont="1" applyFill="1" applyBorder="1" applyAlignment="1" applyProtection="1">
      <alignment horizontal="center" vertical="center"/>
      <protection hidden="1"/>
    </xf>
    <xf numFmtId="0" fontId="30" fillId="3" borderId="3" xfId="1" applyFont="1" applyFill="1" applyBorder="1" applyAlignment="1" applyProtection="1">
      <alignment horizontal="center" vertical="center"/>
      <protection hidden="1"/>
    </xf>
    <xf numFmtId="0" fontId="30" fillId="3" borderId="4" xfId="1" applyFont="1" applyFill="1" applyBorder="1" applyAlignment="1" applyProtection="1">
      <alignment horizontal="center" vertical="center"/>
      <protection hidden="1"/>
    </xf>
    <xf numFmtId="0" fontId="30" fillId="3" borderId="5" xfId="1" applyFont="1" applyFill="1" applyBorder="1" applyAlignment="1" applyProtection="1">
      <alignment horizontal="center" vertical="center"/>
      <protection hidden="1"/>
    </xf>
    <xf numFmtId="0" fontId="30" fillId="3" borderId="6" xfId="1" applyFont="1" applyFill="1" applyBorder="1" applyAlignment="1" applyProtection="1">
      <alignment horizontal="center" vertical="center"/>
      <protection hidden="1"/>
    </xf>
    <xf numFmtId="0" fontId="30" fillId="3" borderId="38" xfId="1" applyFont="1" applyFill="1" applyBorder="1" applyAlignment="1" applyProtection="1">
      <alignment horizontal="center" vertical="center"/>
      <protection hidden="1"/>
    </xf>
    <xf numFmtId="0" fontId="4" fillId="2" borderId="25" xfId="0" applyFont="1" applyFill="1" applyBorder="1" applyAlignment="1" applyProtection="1">
      <alignment horizontal="center"/>
      <protection hidden="1"/>
    </xf>
    <xf numFmtId="0" fontId="4" fillId="2" borderId="26" xfId="0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165" fontId="4" fillId="2" borderId="14" xfId="0" applyNumberFormat="1" applyFont="1" applyFill="1" applyBorder="1" applyAlignment="1" applyProtection="1">
      <alignment horizontal="center"/>
      <protection hidden="1"/>
    </xf>
    <xf numFmtId="0" fontId="0" fillId="2" borderId="14" xfId="0" applyFill="1" applyBorder="1" applyProtection="1">
      <protection hidden="1"/>
    </xf>
    <xf numFmtId="0" fontId="0" fillId="2" borderId="81" xfId="0" applyFill="1" applyBorder="1" applyProtection="1">
      <protection hidden="1"/>
    </xf>
    <xf numFmtId="0" fontId="7" fillId="7" borderId="0" xfId="0" applyFont="1" applyFill="1" applyAlignment="1" applyProtection="1">
      <alignment horizontal="center" vertical="center"/>
      <protection hidden="1"/>
    </xf>
    <xf numFmtId="0" fontId="24" fillId="7" borderId="0" xfId="0" applyFont="1" applyFill="1" applyAlignment="1" applyProtection="1">
      <alignment horizontal="center" vertical="center"/>
      <protection hidden="1"/>
    </xf>
    <xf numFmtId="0" fontId="0" fillId="0" borderId="0" xfId="0"/>
    <xf numFmtId="0" fontId="12" fillId="2" borderId="51" xfId="0" applyFont="1" applyFill="1" applyBorder="1" applyAlignment="1" applyProtection="1">
      <alignment horizontal="center" vertical="center"/>
      <protection locked="0" hidden="1"/>
    </xf>
    <xf numFmtId="0" fontId="12" fillId="2" borderId="50" xfId="0" applyFont="1" applyFill="1" applyBorder="1" applyAlignment="1" applyProtection="1">
      <alignment horizontal="center" vertical="center"/>
      <protection locked="0" hidden="1"/>
    </xf>
    <xf numFmtId="0" fontId="12" fillId="2" borderId="73" xfId="0" applyFont="1" applyFill="1" applyBorder="1" applyAlignment="1" applyProtection="1">
      <alignment horizontal="center" vertical="center"/>
      <protection locked="0" hidden="1"/>
    </xf>
    <xf numFmtId="0" fontId="12" fillId="2" borderId="72" xfId="0" applyFont="1" applyFill="1" applyBorder="1" applyAlignment="1" applyProtection="1">
      <alignment horizontal="center" vertical="center"/>
      <protection locked="0" hidden="1"/>
    </xf>
    <xf numFmtId="0" fontId="12" fillId="2" borderId="87" xfId="0" applyFont="1" applyFill="1" applyBorder="1" applyAlignment="1" applyProtection="1">
      <alignment horizontal="center" vertical="center"/>
      <protection locked="0" hidden="1"/>
    </xf>
    <xf numFmtId="0" fontId="0" fillId="2" borderId="83" xfId="0" applyFill="1" applyBorder="1" applyAlignment="1" applyProtection="1">
      <alignment horizontal="center" vertical="center"/>
      <protection locked="0" hidden="1"/>
    </xf>
    <xf numFmtId="0" fontId="12" fillId="2" borderId="100" xfId="0" applyFont="1" applyFill="1" applyBorder="1" applyAlignment="1" applyProtection="1">
      <alignment horizontal="center" vertical="center"/>
      <protection locked="0" hidden="1"/>
    </xf>
    <xf numFmtId="0" fontId="0" fillId="2" borderId="86" xfId="0" applyFill="1" applyBorder="1" applyAlignment="1" applyProtection="1">
      <alignment horizontal="center" vertical="center"/>
      <protection locked="0" hidden="1"/>
    </xf>
    <xf numFmtId="0" fontId="12" fillId="2" borderId="99" xfId="0" applyFont="1" applyFill="1" applyBorder="1" applyAlignment="1" applyProtection="1">
      <alignment horizontal="center" vertical="center"/>
      <protection locked="0" hidden="1"/>
    </xf>
    <xf numFmtId="0" fontId="0" fillId="2" borderId="85" xfId="0" applyFill="1" applyBorder="1" applyAlignment="1" applyProtection="1">
      <alignment horizontal="center" vertical="center"/>
      <protection locked="0" hidden="1"/>
    </xf>
    <xf numFmtId="0" fontId="12" fillId="2" borderId="101" xfId="0" applyFont="1" applyFill="1" applyBorder="1" applyAlignment="1" applyProtection="1">
      <alignment horizontal="center" vertical="center"/>
      <protection locked="0" hidden="1"/>
    </xf>
    <xf numFmtId="0" fontId="0" fillId="2" borderId="84" xfId="0" applyFill="1" applyBorder="1" applyAlignment="1" applyProtection="1">
      <alignment horizontal="center" vertical="center"/>
      <protection locked="0" hidden="1"/>
    </xf>
    <xf numFmtId="0" fontId="14" fillId="0" borderId="8" xfId="0" quotePrefix="1" applyFont="1" applyBorder="1" applyAlignment="1" applyProtection="1">
      <alignment horizontal="right"/>
      <protection hidden="1"/>
    </xf>
    <xf numFmtId="0" fontId="14" fillId="0" borderId="0" xfId="0" quotePrefix="1" applyFont="1" applyAlignment="1" applyProtection="1">
      <alignment horizontal="right"/>
      <protection hidden="1"/>
    </xf>
    <xf numFmtId="0" fontId="17" fillId="0" borderId="26" xfId="0" applyFont="1" applyBorder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33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2" fillId="0" borderId="25" xfId="0" applyFont="1" applyBorder="1" applyAlignment="1" applyProtection="1">
      <alignment horizontal="center"/>
      <protection hidden="1"/>
    </xf>
    <xf numFmtId="0" fontId="12" fillId="0" borderId="26" xfId="0" applyFont="1" applyBorder="1" applyAlignment="1" applyProtection="1">
      <alignment horizontal="center"/>
      <protection hidden="1"/>
    </xf>
    <xf numFmtId="0" fontId="12" fillId="0" borderId="28" xfId="0" applyFont="1" applyBorder="1" applyAlignment="1" applyProtection="1">
      <alignment horizontal="center"/>
      <protection hidden="1"/>
    </xf>
    <xf numFmtId="0" fontId="12" fillId="0" borderId="32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12" fillId="0" borderId="36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0" borderId="38" xfId="0" applyFont="1" applyBorder="1" applyAlignment="1" applyProtection="1">
      <alignment horizontal="center"/>
      <protection hidden="1"/>
    </xf>
    <xf numFmtId="0" fontId="18" fillId="0" borderId="30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18" fillId="0" borderId="8" xfId="0" applyFont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8" fillId="0" borderId="6" xfId="0" applyFont="1" applyBorder="1" applyAlignment="1" applyProtection="1">
      <alignment horizontal="center"/>
      <protection hidden="1"/>
    </xf>
    <xf numFmtId="0" fontId="18" fillId="0" borderId="31" xfId="0" applyFont="1" applyBorder="1" applyAlignment="1" applyProtection="1">
      <alignment horizontal="center" wrapText="1"/>
      <protection hidden="1"/>
    </xf>
    <xf numFmtId="0" fontId="18" fillId="0" borderId="28" xfId="0" applyFont="1" applyBorder="1" applyAlignment="1" applyProtection="1">
      <alignment horizontal="center" wrapText="1"/>
      <protection hidden="1"/>
    </xf>
    <xf numFmtId="0" fontId="18" fillId="0" borderId="35" xfId="0" applyFont="1" applyBorder="1" applyAlignment="1" applyProtection="1">
      <alignment horizontal="center" wrapText="1"/>
      <protection hidden="1"/>
    </xf>
    <xf numFmtId="0" fontId="18" fillId="0" borderId="9" xfId="0" applyFont="1" applyBorder="1" applyAlignment="1" applyProtection="1">
      <alignment horizontal="center" wrapText="1"/>
      <protection hidden="1"/>
    </xf>
    <xf numFmtId="0" fontId="18" fillId="0" borderId="39" xfId="0" applyFont="1" applyBorder="1" applyAlignment="1" applyProtection="1">
      <alignment horizontal="center" wrapText="1"/>
      <protection hidden="1"/>
    </xf>
    <xf numFmtId="0" fontId="18" fillId="0" borderId="38" xfId="0" applyFont="1" applyBorder="1" applyAlignment="1" applyProtection="1">
      <alignment horizontal="center" wrapText="1"/>
      <protection hidden="1"/>
    </xf>
    <xf numFmtId="0" fontId="19" fillId="0" borderId="30" xfId="0" applyFont="1" applyBorder="1" applyAlignment="1" applyProtection="1">
      <alignment horizontal="center"/>
      <protection hidden="1"/>
    </xf>
    <xf numFmtId="0" fontId="19" fillId="0" borderId="26" xfId="0" applyFont="1" applyBorder="1" applyAlignment="1" applyProtection="1">
      <alignment horizontal="center"/>
      <protection hidden="1"/>
    </xf>
    <xf numFmtId="0" fontId="19" fillId="0" borderId="27" xfId="0" applyFont="1" applyBorder="1" applyAlignment="1" applyProtection="1">
      <alignment horizontal="center"/>
      <protection hidden="1"/>
    </xf>
    <xf numFmtId="0" fontId="19" fillId="0" borderId="8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33" xfId="0" applyFont="1" applyBorder="1" applyAlignment="1" applyProtection="1">
      <alignment horizontal="center"/>
      <protection hidden="1"/>
    </xf>
    <xf numFmtId="0" fontId="12" fillId="0" borderId="5" xfId="0" applyFont="1" applyBorder="1" applyAlignment="1" applyProtection="1">
      <alignment horizontal="center"/>
      <protection hidden="1"/>
    </xf>
    <xf numFmtId="0" fontId="12" fillId="0" borderId="37" xfId="0" applyFont="1" applyBorder="1" applyAlignment="1" applyProtection="1">
      <alignment horizontal="center"/>
      <protection hidden="1"/>
    </xf>
    <xf numFmtId="0" fontId="12" fillId="2" borderId="45" xfId="0" applyFont="1" applyFill="1" applyBorder="1" applyAlignment="1" applyProtection="1">
      <alignment horizontal="center" vertical="center"/>
      <protection locked="0" hidden="1"/>
    </xf>
    <xf numFmtId="0" fontId="12" fillId="2" borderId="44" xfId="0" applyFont="1" applyFill="1" applyBorder="1" applyAlignment="1" applyProtection="1">
      <alignment horizontal="center" vertical="center"/>
      <protection locked="0" hidden="1"/>
    </xf>
    <xf numFmtId="0" fontId="19" fillId="0" borderId="32" xfId="0" applyFont="1" applyBorder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9" fillId="0" borderId="36" xfId="0" applyFont="1" applyBorder="1" applyAlignment="1" applyProtection="1">
      <alignment horizontal="left" vertical="center"/>
      <protection hidden="1"/>
    </xf>
    <xf numFmtId="0" fontId="19" fillId="0" borderId="6" xfId="0" applyFont="1" applyBorder="1" applyAlignment="1" applyProtection="1">
      <alignment horizontal="left" vertical="center"/>
      <protection hidden="1"/>
    </xf>
    <xf numFmtId="0" fontId="16" fillId="0" borderId="45" xfId="0" applyFont="1" applyBorder="1" applyAlignment="1" applyProtection="1">
      <alignment horizontal="center" vertical="center"/>
      <protection hidden="1"/>
    </xf>
    <xf numFmtId="0" fontId="16" fillId="0" borderId="44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16" fillId="0" borderId="57" xfId="0" applyFont="1" applyBorder="1" applyAlignment="1" applyProtection="1">
      <alignment horizontal="center" vertical="center"/>
      <protection hidden="1"/>
    </xf>
    <xf numFmtId="0" fontId="12" fillId="2" borderId="98" xfId="0" applyFont="1" applyFill="1" applyBorder="1" applyAlignment="1" applyProtection="1">
      <alignment horizontal="center" vertical="center"/>
      <protection locked="0" hidden="1"/>
    </xf>
    <xf numFmtId="0" fontId="0" fillId="2" borderId="82" xfId="0" applyFill="1" applyBorder="1" applyAlignment="1" applyProtection="1">
      <alignment horizontal="center" vertical="center"/>
      <protection locked="0" hidden="1"/>
    </xf>
    <xf numFmtId="0" fontId="19" fillId="2" borderId="76" xfId="0" applyFont="1" applyFill="1" applyBorder="1" applyAlignment="1" applyProtection="1">
      <alignment vertical="center"/>
      <protection locked="0" hidden="1"/>
    </xf>
    <xf numFmtId="0" fontId="0" fillId="0" borderId="76" xfId="0" applyBorder="1" applyAlignment="1" applyProtection="1">
      <alignment vertical="center"/>
      <protection locked="0" hidden="1"/>
    </xf>
    <xf numFmtId="0" fontId="0" fillId="0" borderId="77" xfId="0" applyBorder="1" applyAlignment="1" applyProtection="1">
      <alignment vertical="center"/>
      <protection locked="0" hidden="1"/>
    </xf>
    <xf numFmtId="0" fontId="27" fillId="4" borderId="25" xfId="1" applyFont="1" applyFill="1" applyBorder="1" applyAlignment="1" applyProtection="1">
      <alignment horizontal="center" vertical="center"/>
      <protection hidden="1"/>
    </xf>
    <xf numFmtId="0" fontId="27" fillId="4" borderId="26" xfId="1" applyFont="1" applyFill="1" applyBorder="1" applyAlignment="1" applyProtection="1">
      <alignment horizontal="center" vertical="center"/>
      <protection hidden="1"/>
    </xf>
    <xf numFmtId="0" fontId="27" fillId="4" borderId="27" xfId="1" applyFont="1" applyFill="1" applyBorder="1" applyAlignment="1" applyProtection="1">
      <alignment horizontal="center" vertical="center"/>
      <protection hidden="1"/>
    </xf>
    <xf numFmtId="0" fontId="27" fillId="4" borderId="32" xfId="1" applyFont="1" applyFill="1" applyBorder="1" applyAlignment="1" applyProtection="1">
      <alignment horizontal="center" vertical="center"/>
      <protection hidden="1"/>
    </xf>
    <xf numFmtId="0" fontId="27" fillId="4" borderId="0" xfId="1" applyFont="1" applyFill="1" applyBorder="1" applyAlignment="1" applyProtection="1">
      <alignment horizontal="center" vertical="center"/>
      <protection hidden="1"/>
    </xf>
    <xf numFmtId="0" fontId="27" fillId="4" borderId="33" xfId="1" applyFont="1" applyFill="1" applyBorder="1" applyAlignment="1" applyProtection="1">
      <alignment horizontal="center" vertical="center"/>
      <protection hidden="1"/>
    </xf>
    <xf numFmtId="0" fontId="27" fillId="4" borderId="78" xfId="1" applyFont="1" applyFill="1" applyBorder="1" applyAlignment="1" applyProtection="1">
      <alignment horizontal="center" vertical="center"/>
      <protection hidden="1"/>
    </xf>
    <xf numFmtId="0" fontId="27" fillId="4" borderId="14" xfId="1" applyFont="1" applyFill="1" applyBorder="1" applyAlignment="1" applyProtection="1">
      <alignment horizontal="center" vertical="center"/>
      <protection hidden="1"/>
    </xf>
    <xf numFmtId="0" fontId="27" fillId="4" borderId="81" xfId="1" applyFont="1" applyFill="1" applyBorder="1" applyAlignment="1" applyProtection="1">
      <alignment horizontal="center" vertical="center"/>
      <protection hidden="1"/>
    </xf>
    <xf numFmtId="15" fontId="13" fillId="0" borderId="92" xfId="0" quotePrefix="1" applyNumberFormat="1" applyFont="1" applyBorder="1" applyAlignment="1" applyProtection="1">
      <alignment vertical="center"/>
      <protection hidden="1"/>
    </xf>
    <xf numFmtId="0" fontId="0" fillId="0" borderId="93" xfId="0" applyBorder="1" applyAlignment="1" applyProtection="1">
      <alignment vertical="center"/>
      <protection hidden="1"/>
    </xf>
    <xf numFmtId="0" fontId="0" fillId="0" borderId="94" xfId="0" applyBorder="1" applyAlignment="1" applyProtection="1">
      <alignment vertical="center"/>
      <protection hidden="1"/>
    </xf>
    <xf numFmtId="0" fontId="12" fillId="2" borderId="65" xfId="0" applyFont="1" applyFill="1" applyBorder="1" applyAlignment="1" applyProtection="1">
      <alignment horizontal="center" vertical="center"/>
      <protection locked="0" hidden="1"/>
    </xf>
    <xf numFmtId="164" fontId="13" fillId="0" borderId="65" xfId="0" applyNumberFormat="1" applyFont="1" applyBorder="1" applyAlignment="1" applyProtection="1">
      <alignment horizontal="center" vertical="center"/>
      <protection hidden="1"/>
    </xf>
    <xf numFmtId="0" fontId="23" fillId="2" borderId="11" xfId="0" applyFont="1" applyFill="1" applyBorder="1" applyAlignment="1" applyProtection="1">
      <alignment horizontal="center" vertical="center"/>
      <protection hidden="1"/>
    </xf>
    <xf numFmtId="0" fontId="23" fillId="2" borderId="10" xfId="0" applyFont="1" applyFill="1" applyBorder="1" applyAlignment="1" applyProtection="1">
      <alignment horizontal="center" vertical="center"/>
      <protection hidden="1"/>
    </xf>
    <xf numFmtId="0" fontId="23" fillId="2" borderId="12" xfId="0" applyFont="1" applyFill="1" applyBorder="1" applyAlignment="1" applyProtection="1">
      <alignment horizontal="center" vertical="center"/>
      <protection hidden="1"/>
    </xf>
    <xf numFmtId="0" fontId="31" fillId="2" borderId="11" xfId="0" applyFont="1" applyFill="1" applyBorder="1" applyAlignment="1" applyProtection="1">
      <alignment horizontal="center" vertical="center"/>
      <protection hidden="1"/>
    </xf>
    <xf numFmtId="0" fontId="31" fillId="2" borderId="10" xfId="0" applyFont="1" applyFill="1" applyBorder="1" applyAlignment="1" applyProtection="1">
      <alignment horizontal="center" vertical="center"/>
      <protection hidden="1"/>
    </xf>
    <xf numFmtId="0" fontId="31" fillId="2" borderId="12" xfId="0" applyFont="1" applyFill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left" vertical="center"/>
      <protection hidden="1"/>
    </xf>
    <xf numFmtId="0" fontId="12" fillId="0" borderId="10" xfId="0" applyFont="1" applyBorder="1" applyAlignment="1" applyProtection="1">
      <alignment horizontal="left" vertical="center"/>
      <protection hidden="1"/>
    </xf>
    <xf numFmtId="15" fontId="13" fillId="0" borderId="92" xfId="0" quotePrefix="1" applyNumberFormat="1" applyFont="1" applyBorder="1" applyAlignment="1" applyProtection="1">
      <alignment horizontal="right" vertical="center"/>
      <protection hidden="1"/>
    </xf>
    <xf numFmtId="15" fontId="13" fillId="0" borderId="93" xfId="0" quotePrefix="1" applyNumberFormat="1" applyFont="1" applyBorder="1" applyAlignment="1" applyProtection="1">
      <alignment horizontal="right" vertical="center"/>
      <protection hidden="1"/>
    </xf>
    <xf numFmtId="15" fontId="13" fillId="0" borderId="94" xfId="0" quotePrefix="1" applyNumberFormat="1" applyFont="1" applyBorder="1" applyAlignment="1" applyProtection="1">
      <alignment horizontal="right" vertical="center"/>
      <protection hidden="1"/>
    </xf>
    <xf numFmtId="0" fontId="22" fillId="0" borderId="56" xfId="0" applyFont="1" applyBorder="1" applyAlignment="1" applyProtection="1">
      <alignment horizontal="center" vertical="center"/>
      <protection hidden="1"/>
    </xf>
    <xf numFmtId="0" fontId="12" fillId="0" borderId="51" xfId="0" applyFont="1" applyBorder="1" applyAlignment="1" applyProtection="1">
      <alignment horizontal="center" vertical="center"/>
      <protection hidden="1"/>
    </xf>
    <xf numFmtId="0" fontId="12" fillId="0" borderId="50" xfId="0" applyFont="1" applyBorder="1" applyAlignment="1" applyProtection="1">
      <alignment horizontal="center" vertical="center"/>
      <protection hidden="1"/>
    </xf>
    <xf numFmtId="0" fontId="12" fillId="0" borderId="87" xfId="0" applyFont="1" applyBorder="1" applyAlignment="1" applyProtection="1">
      <alignment horizontal="center" vertical="center"/>
      <protection hidden="1"/>
    </xf>
    <xf numFmtId="0" fontId="0" fillId="0" borderId="83" xfId="0" applyBorder="1" applyAlignment="1" applyProtection="1">
      <alignment horizontal="center" vertical="center"/>
      <protection hidden="1"/>
    </xf>
    <xf numFmtId="0" fontId="12" fillId="0" borderId="73" xfId="0" applyFont="1" applyBorder="1" applyAlignment="1" applyProtection="1">
      <alignment horizontal="center" vertical="center"/>
      <protection hidden="1"/>
    </xf>
    <xf numFmtId="0" fontId="12" fillId="0" borderId="72" xfId="0" applyFont="1" applyBorder="1" applyAlignment="1" applyProtection="1">
      <alignment horizontal="center" vertical="center"/>
      <protection hidden="1"/>
    </xf>
    <xf numFmtId="0" fontId="12" fillId="0" borderId="101" xfId="0" applyFont="1" applyBorder="1" applyAlignment="1" applyProtection="1">
      <alignment horizontal="center" vertical="center"/>
      <protection hidden="1"/>
    </xf>
    <xf numFmtId="0" fontId="0" fillId="0" borderId="84" xfId="0" applyBorder="1" applyAlignment="1" applyProtection="1">
      <alignment horizontal="center" vertical="center"/>
      <protection hidden="1"/>
    </xf>
    <xf numFmtId="0" fontId="19" fillId="0" borderId="76" xfId="0" applyFont="1" applyBorder="1" applyAlignment="1" applyProtection="1">
      <alignment vertical="center"/>
      <protection hidden="1"/>
    </xf>
    <xf numFmtId="0" fontId="0" fillId="0" borderId="76" xfId="0" applyBorder="1" applyAlignment="1" applyProtection="1">
      <alignment vertical="center"/>
      <protection hidden="1"/>
    </xf>
    <xf numFmtId="0" fontId="0" fillId="0" borderId="77" xfId="0" applyBorder="1" applyAlignment="1" applyProtection="1">
      <alignment vertical="center"/>
      <protection hidden="1"/>
    </xf>
    <xf numFmtId="0" fontId="12" fillId="0" borderId="100" xfId="0" applyFont="1" applyBorder="1" applyAlignment="1" applyProtection="1">
      <alignment horizontal="center" vertical="center"/>
      <protection hidden="1"/>
    </xf>
    <xf numFmtId="0" fontId="0" fillId="0" borderId="86" xfId="0" applyBorder="1" applyAlignment="1" applyProtection="1">
      <alignment horizontal="center" vertical="center"/>
      <protection hidden="1"/>
    </xf>
    <xf numFmtId="0" fontId="12" fillId="0" borderId="99" xfId="0" applyFont="1" applyBorder="1" applyAlignment="1" applyProtection="1">
      <alignment horizontal="center" vertical="center"/>
      <protection hidden="1"/>
    </xf>
    <xf numFmtId="0" fontId="0" fillId="0" borderId="85" xfId="0" applyBorder="1" applyAlignment="1" applyProtection="1">
      <alignment horizontal="center" vertical="center"/>
      <protection hidden="1"/>
    </xf>
    <xf numFmtId="0" fontId="12" fillId="0" borderId="45" xfId="0" applyFont="1" applyBorder="1" applyAlignment="1" applyProtection="1">
      <alignment horizontal="center" vertical="center"/>
      <protection hidden="1"/>
    </xf>
    <xf numFmtId="0" fontId="12" fillId="0" borderId="44" xfId="0" applyFont="1" applyBorder="1" applyAlignment="1" applyProtection="1">
      <alignment horizontal="center" vertical="center"/>
      <protection hidden="1"/>
    </xf>
    <xf numFmtId="0" fontId="12" fillId="0" borderId="98" xfId="0" applyFont="1" applyBorder="1" applyAlignment="1" applyProtection="1">
      <alignment horizontal="center" vertical="center"/>
      <protection hidden="1"/>
    </xf>
    <xf numFmtId="0" fontId="0" fillId="0" borderId="82" xfId="0" applyBorder="1" applyAlignment="1" applyProtection="1">
      <alignment horizontal="center" vertical="center"/>
      <protection hidden="1"/>
    </xf>
    <xf numFmtId="0" fontId="12" fillId="0" borderId="65" xfId="0" applyFont="1" applyBorder="1" applyAlignment="1" applyProtection="1">
      <alignment horizontal="center" vertical="center"/>
      <protection hidden="1"/>
    </xf>
    <xf numFmtId="0" fontId="35" fillId="0" borderId="14" xfId="0" applyFont="1" applyBorder="1" applyAlignment="1" applyProtection="1">
      <alignment horizontal="center" vertical="center"/>
      <protection hidden="1"/>
    </xf>
    <xf numFmtId="0" fontId="35" fillId="0" borderId="76" xfId="0" applyFont="1" applyBorder="1" applyAlignment="1" applyProtection="1">
      <alignment horizontal="center" vertical="center"/>
      <protection hidden="1"/>
    </xf>
  </cellXfs>
  <cellStyles count="2">
    <cellStyle name="Hyperlink" xfId="1" builtinId="8"/>
    <cellStyle name="Standaard" xfId="0" builtinId="0"/>
  </cellStyles>
  <dxfs count="1">
    <dxf>
      <font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66675</xdr:rowOff>
    </xdr:from>
    <xdr:to>
      <xdr:col>7</xdr:col>
      <xdr:colOff>133350</xdr:colOff>
      <xdr:row>1</xdr:row>
      <xdr:rowOff>95250</xdr:rowOff>
    </xdr:to>
    <xdr:cxnSp macro="">
      <xdr:nvCxnSpPr>
        <xdr:cNvPr id="8" name="Rechte verbindingslij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638175" y="485775"/>
          <a:ext cx="5619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66675</xdr:rowOff>
    </xdr:from>
    <xdr:to>
      <xdr:col>7</xdr:col>
      <xdr:colOff>133350</xdr:colOff>
      <xdr:row>1</xdr:row>
      <xdr:rowOff>95250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99F69CB4-DC61-4FE9-B240-D00D7E22F95F}"/>
            </a:ext>
          </a:extLst>
        </xdr:cNvPr>
        <xdr:cNvCxnSpPr/>
      </xdr:nvCxnSpPr>
      <xdr:spPr>
        <a:xfrm>
          <a:off x="638175" y="485775"/>
          <a:ext cx="62865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66675</xdr:rowOff>
    </xdr:from>
    <xdr:to>
      <xdr:col>7</xdr:col>
      <xdr:colOff>133350</xdr:colOff>
      <xdr:row>1</xdr:row>
      <xdr:rowOff>95250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AE000F19-7558-4F9C-8EAA-861F520667B4}"/>
            </a:ext>
          </a:extLst>
        </xdr:cNvPr>
        <xdr:cNvCxnSpPr/>
      </xdr:nvCxnSpPr>
      <xdr:spPr>
        <a:xfrm>
          <a:off x="638175" y="485775"/>
          <a:ext cx="62865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66675</xdr:rowOff>
    </xdr:from>
    <xdr:to>
      <xdr:col>7</xdr:col>
      <xdr:colOff>133350</xdr:colOff>
      <xdr:row>1</xdr:row>
      <xdr:rowOff>95250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47FF399C-88D9-4B03-9C27-F593F228C085}"/>
            </a:ext>
          </a:extLst>
        </xdr:cNvPr>
        <xdr:cNvCxnSpPr/>
      </xdr:nvCxnSpPr>
      <xdr:spPr>
        <a:xfrm>
          <a:off x="638175" y="485775"/>
          <a:ext cx="62865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66675</xdr:rowOff>
    </xdr:from>
    <xdr:to>
      <xdr:col>7</xdr:col>
      <xdr:colOff>133350</xdr:colOff>
      <xdr:row>1</xdr:row>
      <xdr:rowOff>95250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5AEE2344-2BD5-439E-BEE2-C12FBB7C563F}"/>
            </a:ext>
          </a:extLst>
        </xdr:cNvPr>
        <xdr:cNvCxnSpPr/>
      </xdr:nvCxnSpPr>
      <xdr:spPr>
        <a:xfrm>
          <a:off x="638175" y="485775"/>
          <a:ext cx="62865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66675</xdr:rowOff>
    </xdr:from>
    <xdr:to>
      <xdr:col>7</xdr:col>
      <xdr:colOff>133350</xdr:colOff>
      <xdr:row>1</xdr:row>
      <xdr:rowOff>95250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CCDF29BF-5D68-4582-8771-EC526F7C8577}"/>
            </a:ext>
          </a:extLst>
        </xdr:cNvPr>
        <xdr:cNvCxnSpPr/>
      </xdr:nvCxnSpPr>
      <xdr:spPr>
        <a:xfrm>
          <a:off x="638175" y="485775"/>
          <a:ext cx="62865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66675</xdr:rowOff>
    </xdr:from>
    <xdr:to>
      <xdr:col>7</xdr:col>
      <xdr:colOff>133350</xdr:colOff>
      <xdr:row>1</xdr:row>
      <xdr:rowOff>95250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C54A4A48-075A-4F0D-BDF0-1643B291D0A5}"/>
            </a:ext>
          </a:extLst>
        </xdr:cNvPr>
        <xdr:cNvCxnSpPr/>
      </xdr:nvCxnSpPr>
      <xdr:spPr>
        <a:xfrm>
          <a:off x="638175" y="485775"/>
          <a:ext cx="62865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66675</xdr:rowOff>
    </xdr:from>
    <xdr:to>
      <xdr:col>7</xdr:col>
      <xdr:colOff>133350</xdr:colOff>
      <xdr:row>1</xdr:row>
      <xdr:rowOff>95250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87D51406-A04E-4132-98CE-0924AF23DFB2}"/>
            </a:ext>
          </a:extLst>
        </xdr:cNvPr>
        <xdr:cNvCxnSpPr/>
      </xdr:nvCxnSpPr>
      <xdr:spPr>
        <a:xfrm>
          <a:off x="638175" y="485775"/>
          <a:ext cx="62865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66675</xdr:rowOff>
    </xdr:from>
    <xdr:to>
      <xdr:col>7</xdr:col>
      <xdr:colOff>133350</xdr:colOff>
      <xdr:row>1</xdr:row>
      <xdr:rowOff>95250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E612D82C-C558-492F-9251-B012A09936F4}"/>
            </a:ext>
          </a:extLst>
        </xdr:cNvPr>
        <xdr:cNvCxnSpPr/>
      </xdr:nvCxnSpPr>
      <xdr:spPr>
        <a:xfrm>
          <a:off x="638175" y="485775"/>
          <a:ext cx="62865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66675</xdr:rowOff>
    </xdr:from>
    <xdr:to>
      <xdr:col>7</xdr:col>
      <xdr:colOff>133350</xdr:colOff>
      <xdr:row>1</xdr:row>
      <xdr:rowOff>95250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951FA4D3-375D-4A15-8F65-1FC709E04A82}"/>
            </a:ext>
          </a:extLst>
        </xdr:cNvPr>
        <xdr:cNvCxnSpPr/>
      </xdr:nvCxnSpPr>
      <xdr:spPr>
        <a:xfrm>
          <a:off x="638175" y="485775"/>
          <a:ext cx="62865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66675</xdr:rowOff>
    </xdr:from>
    <xdr:to>
      <xdr:col>7</xdr:col>
      <xdr:colOff>133350</xdr:colOff>
      <xdr:row>1</xdr:row>
      <xdr:rowOff>95250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71C58136-7C7F-4BD6-AC4B-36F01E6A8FDC}"/>
            </a:ext>
          </a:extLst>
        </xdr:cNvPr>
        <xdr:cNvCxnSpPr/>
      </xdr:nvCxnSpPr>
      <xdr:spPr>
        <a:xfrm>
          <a:off x="638175" y="485775"/>
          <a:ext cx="62865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66675</xdr:rowOff>
    </xdr:from>
    <xdr:to>
      <xdr:col>7</xdr:col>
      <xdr:colOff>133350</xdr:colOff>
      <xdr:row>1</xdr:row>
      <xdr:rowOff>95250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A853FF85-8424-4F08-AFF7-275C84944468}"/>
            </a:ext>
          </a:extLst>
        </xdr:cNvPr>
        <xdr:cNvCxnSpPr/>
      </xdr:nvCxnSpPr>
      <xdr:spPr>
        <a:xfrm>
          <a:off x="638175" y="485775"/>
          <a:ext cx="62865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66675</xdr:rowOff>
    </xdr:from>
    <xdr:to>
      <xdr:col>7</xdr:col>
      <xdr:colOff>133350</xdr:colOff>
      <xdr:row>1</xdr:row>
      <xdr:rowOff>95250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A23A764D-D73C-46AC-B708-F69216FD6B67}"/>
            </a:ext>
          </a:extLst>
        </xdr:cNvPr>
        <xdr:cNvCxnSpPr/>
      </xdr:nvCxnSpPr>
      <xdr:spPr>
        <a:xfrm>
          <a:off x="638175" y="485775"/>
          <a:ext cx="62865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66675</xdr:rowOff>
    </xdr:from>
    <xdr:to>
      <xdr:col>7</xdr:col>
      <xdr:colOff>133350</xdr:colOff>
      <xdr:row>1</xdr:row>
      <xdr:rowOff>95250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7B24BBAE-5D66-40CE-B0DA-C9D29F8E07B0}"/>
            </a:ext>
          </a:extLst>
        </xdr:cNvPr>
        <xdr:cNvCxnSpPr/>
      </xdr:nvCxnSpPr>
      <xdr:spPr>
        <a:xfrm>
          <a:off x="638175" y="485775"/>
          <a:ext cx="62865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66675</xdr:rowOff>
    </xdr:from>
    <xdr:to>
      <xdr:col>7</xdr:col>
      <xdr:colOff>133350</xdr:colOff>
      <xdr:row>1</xdr:row>
      <xdr:rowOff>95250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CB8A6D08-84B1-4FA9-9868-3D015D02F359}"/>
            </a:ext>
          </a:extLst>
        </xdr:cNvPr>
        <xdr:cNvCxnSpPr/>
      </xdr:nvCxnSpPr>
      <xdr:spPr>
        <a:xfrm>
          <a:off x="638175" y="485775"/>
          <a:ext cx="62865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66675</xdr:rowOff>
    </xdr:from>
    <xdr:to>
      <xdr:col>7</xdr:col>
      <xdr:colOff>133350</xdr:colOff>
      <xdr:row>1</xdr:row>
      <xdr:rowOff>95250</xdr:rowOff>
    </xdr:to>
    <xdr:cxnSp macro="">
      <xdr:nvCxnSpPr>
        <xdr:cNvPr id="2" name="Rechte verbindingslijn 1">
          <a:extLst>
            <a:ext uri="{FF2B5EF4-FFF2-40B4-BE49-F238E27FC236}">
              <a16:creationId xmlns:a16="http://schemas.microsoft.com/office/drawing/2014/main" id="{79AB5DF6-BCBE-4595-A64D-5B4A99A75266}"/>
            </a:ext>
          </a:extLst>
        </xdr:cNvPr>
        <xdr:cNvCxnSpPr/>
      </xdr:nvCxnSpPr>
      <xdr:spPr>
        <a:xfrm>
          <a:off x="668655" y="325755"/>
          <a:ext cx="65341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66675</xdr:rowOff>
    </xdr:from>
    <xdr:to>
      <xdr:col>7</xdr:col>
      <xdr:colOff>133350</xdr:colOff>
      <xdr:row>1</xdr:row>
      <xdr:rowOff>95250</xdr:rowOff>
    </xdr:to>
    <xdr:cxnSp macro="">
      <xdr:nvCxnSpPr>
        <xdr:cNvPr id="2" name="Rechte verbindingslijn 1">
          <a:extLst>
            <a:ext uri="{FF2B5EF4-FFF2-40B4-BE49-F238E27FC236}">
              <a16:creationId xmlns:a16="http://schemas.microsoft.com/office/drawing/2014/main" id="{40ACFF56-3A89-4F5B-BFA0-53FDDE80F723}"/>
            </a:ext>
          </a:extLst>
        </xdr:cNvPr>
        <xdr:cNvCxnSpPr/>
      </xdr:nvCxnSpPr>
      <xdr:spPr>
        <a:xfrm>
          <a:off x="668655" y="325755"/>
          <a:ext cx="65341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66675</xdr:rowOff>
    </xdr:from>
    <xdr:to>
      <xdr:col>7</xdr:col>
      <xdr:colOff>133350</xdr:colOff>
      <xdr:row>1</xdr:row>
      <xdr:rowOff>95250</xdr:rowOff>
    </xdr:to>
    <xdr:cxnSp macro="">
      <xdr:nvCxnSpPr>
        <xdr:cNvPr id="2" name="Rechte verbindingslijn 1">
          <a:extLst>
            <a:ext uri="{FF2B5EF4-FFF2-40B4-BE49-F238E27FC236}">
              <a16:creationId xmlns:a16="http://schemas.microsoft.com/office/drawing/2014/main" id="{BA1BF0B2-1D9F-4B47-811B-C5FE20DE355E}"/>
            </a:ext>
          </a:extLst>
        </xdr:cNvPr>
        <xdr:cNvCxnSpPr/>
      </xdr:nvCxnSpPr>
      <xdr:spPr>
        <a:xfrm>
          <a:off x="668655" y="325755"/>
          <a:ext cx="65341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66675</xdr:rowOff>
    </xdr:from>
    <xdr:to>
      <xdr:col>7</xdr:col>
      <xdr:colOff>133350</xdr:colOff>
      <xdr:row>1</xdr:row>
      <xdr:rowOff>95250</xdr:rowOff>
    </xdr:to>
    <xdr:cxnSp macro="">
      <xdr:nvCxnSpPr>
        <xdr:cNvPr id="2" name="Rechte verbindingslijn 1">
          <a:extLst>
            <a:ext uri="{FF2B5EF4-FFF2-40B4-BE49-F238E27FC236}">
              <a16:creationId xmlns:a16="http://schemas.microsoft.com/office/drawing/2014/main" id="{99D7C077-0EBA-48AD-95F2-C72C27FB8E52}"/>
            </a:ext>
          </a:extLst>
        </xdr:cNvPr>
        <xdr:cNvCxnSpPr/>
      </xdr:nvCxnSpPr>
      <xdr:spPr>
        <a:xfrm>
          <a:off x="668655" y="325755"/>
          <a:ext cx="65341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66675</xdr:rowOff>
    </xdr:from>
    <xdr:to>
      <xdr:col>7</xdr:col>
      <xdr:colOff>133350</xdr:colOff>
      <xdr:row>1</xdr:row>
      <xdr:rowOff>95250</xdr:rowOff>
    </xdr:to>
    <xdr:cxnSp macro="">
      <xdr:nvCxnSpPr>
        <xdr:cNvPr id="2" name="Rechte verbindingslijn 1">
          <a:extLst>
            <a:ext uri="{FF2B5EF4-FFF2-40B4-BE49-F238E27FC236}">
              <a16:creationId xmlns:a16="http://schemas.microsoft.com/office/drawing/2014/main" id="{7ABCB8A4-23C6-44CA-B6C6-5F03BE1F8161}"/>
            </a:ext>
          </a:extLst>
        </xdr:cNvPr>
        <xdr:cNvCxnSpPr/>
      </xdr:nvCxnSpPr>
      <xdr:spPr>
        <a:xfrm>
          <a:off x="668655" y="325755"/>
          <a:ext cx="65341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66675</xdr:rowOff>
    </xdr:from>
    <xdr:to>
      <xdr:col>7</xdr:col>
      <xdr:colOff>133350</xdr:colOff>
      <xdr:row>1</xdr:row>
      <xdr:rowOff>95250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1DB5E642-F6C9-4A7E-9A51-83E044E2675E}"/>
            </a:ext>
          </a:extLst>
        </xdr:cNvPr>
        <xdr:cNvCxnSpPr/>
      </xdr:nvCxnSpPr>
      <xdr:spPr>
        <a:xfrm>
          <a:off x="668655" y="325755"/>
          <a:ext cx="65341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3</xdr:row>
      <xdr:rowOff>123825</xdr:rowOff>
    </xdr:from>
    <xdr:to>
      <xdr:col>10</xdr:col>
      <xdr:colOff>914400</xdr:colOff>
      <xdr:row>3</xdr:row>
      <xdr:rowOff>123825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F1C48154-C4AF-4A0F-A364-1171592DABBB}"/>
            </a:ext>
          </a:extLst>
        </xdr:cNvPr>
        <xdr:cNvCxnSpPr/>
      </xdr:nvCxnSpPr>
      <xdr:spPr>
        <a:xfrm flipH="1">
          <a:off x="12925425" y="781050"/>
          <a:ext cx="866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5</xdr:row>
      <xdr:rowOff>123825</xdr:rowOff>
    </xdr:from>
    <xdr:to>
      <xdr:col>10</xdr:col>
      <xdr:colOff>914400</xdr:colOff>
      <xdr:row>5</xdr:row>
      <xdr:rowOff>123825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5E2C398E-0DB2-4A3F-8878-7504C7051EAA}"/>
            </a:ext>
          </a:extLst>
        </xdr:cNvPr>
        <xdr:cNvCxnSpPr/>
      </xdr:nvCxnSpPr>
      <xdr:spPr>
        <a:xfrm flipH="1">
          <a:off x="12925425" y="781050"/>
          <a:ext cx="866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7</xdr:row>
      <xdr:rowOff>123825</xdr:rowOff>
    </xdr:from>
    <xdr:to>
      <xdr:col>10</xdr:col>
      <xdr:colOff>914400</xdr:colOff>
      <xdr:row>7</xdr:row>
      <xdr:rowOff>123825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E3F512D2-35F2-4503-A9A7-010D056027B6}"/>
            </a:ext>
          </a:extLst>
        </xdr:cNvPr>
        <xdr:cNvCxnSpPr/>
      </xdr:nvCxnSpPr>
      <xdr:spPr>
        <a:xfrm flipH="1">
          <a:off x="12925425" y="781050"/>
          <a:ext cx="866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9</xdr:row>
      <xdr:rowOff>123825</xdr:rowOff>
    </xdr:from>
    <xdr:to>
      <xdr:col>10</xdr:col>
      <xdr:colOff>914400</xdr:colOff>
      <xdr:row>9</xdr:row>
      <xdr:rowOff>123825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560B31A9-E7CE-4C82-AA25-A1DCC8CDF273}"/>
            </a:ext>
          </a:extLst>
        </xdr:cNvPr>
        <xdr:cNvCxnSpPr/>
      </xdr:nvCxnSpPr>
      <xdr:spPr>
        <a:xfrm flipH="1">
          <a:off x="12925425" y="781050"/>
          <a:ext cx="866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11</xdr:row>
      <xdr:rowOff>123825</xdr:rowOff>
    </xdr:from>
    <xdr:to>
      <xdr:col>10</xdr:col>
      <xdr:colOff>914400</xdr:colOff>
      <xdr:row>11</xdr:row>
      <xdr:rowOff>123825</xdr:rowOff>
    </xdr:to>
    <xdr:cxnSp macro="">
      <xdr:nvCxnSpPr>
        <xdr:cNvPr id="7" name="Rechte verbindingslijn met pijl 6">
          <a:extLst>
            <a:ext uri="{FF2B5EF4-FFF2-40B4-BE49-F238E27FC236}">
              <a16:creationId xmlns:a16="http://schemas.microsoft.com/office/drawing/2014/main" id="{61E461C9-D924-4589-955D-FB7F38B6295D}"/>
            </a:ext>
          </a:extLst>
        </xdr:cNvPr>
        <xdr:cNvCxnSpPr/>
      </xdr:nvCxnSpPr>
      <xdr:spPr>
        <a:xfrm flipH="1">
          <a:off x="12925425" y="781050"/>
          <a:ext cx="866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13</xdr:row>
      <xdr:rowOff>123825</xdr:rowOff>
    </xdr:from>
    <xdr:to>
      <xdr:col>10</xdr:col>
      <xdr:colOff>914400</xdr:colOff>
      <xdr:row>13</xdr:row>
      <xdr:rowOff>123825</xdr:rowOff>
    </xdr:to>
    <xdr:cxnSp macro="">
      <xdr:nvCxnSpPr>
        <xdr:cNvPr id="8" name="Rechte verbindingslijn met pijl 7">
          <a:extLst>
            <a:ext uri="{FF2B5EF4-FFF2-40B4-BE49-F238E27FC236}">
              <a16:creationId xmlns:a16="http://schemas.microsoft.com/office/drawing/2014/main" id="{D29C056E-EF5C-4309-A4AB-88C9B65E6602}"/>
            </a:ext>
          </a:extLst>
        </xdr:cNvPr>
        <xdr:cNvCxnSpPr/>
      </xdr:nvCxnSpPr>
      <xdr:spPr>
        <a:xfrm flipH="1">
          <a:off x="12925425" y="781050"/>
          <a:ext cx="866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15</xdr:row>
      <xdr:rowOff>123825</xdr:rowOff>
    </xdr:from>
    <xdr:to>
      <xdr:col>10</xdr:col>
      <xdr:colOff>914400</xdr:colOff>
      <xdr:row>15</xdr:row>
      <xdr:rowOff>123825</xdr:rowOff>
    </xdr:to>
    <xdr:cxnSp macro="">
      <xdr:nvCxnSpPr>
        <xdr:cNvPr id="9" name="Rechte verbindingslijn met pijl 8">
          <a:extLst>
            <a:ext uri="{FF2B5EF4-FFF2-40B4-BE49-F238E27FC236}">
              <a16:creationId xmlns:a16="http://schemas.microsoft.com/office/drawing/2014/main" id="{AD8BAF3C-BFF2-4D27-A5C4-BFFC8BCE6E8C}"/>
            </a:ext>
          </a:extLst>
        </xdr:cNvPr>
        <xdr:cNvCxnSpPr/>
      </xdr:nvCxnSpPr>
      <xdr:spPr>
        <a:xfrm flipH="1">
          <a:off x="12925425" y="781050"/>
          <a:ext cx="866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17</xdr:row>
      <xdr:rowOff>123825</xdr:rowOff>
    </xdr:from>
    <xdr:to>
      <xdr:col>10</xdr:col>
      <xdr:colOff>914400</xdr:colOff>
      <xdr:row>17</xdr:row>
      <xdr:rowOff>123825</xdr:rowOff>
    </xdr:to>
    <xdr:cxnSp macro="">
      <xdr:nvCxnSpPr>
        <xdr:cNvPr id="10" name="Rechte verbindingslijn met pijl 9">
          <a:extLst>
            <a:ext uri="{FF2B5EF4-FFF2-40B4-BE49-F238E27FC236}">
              <a16:creationId xmlns:a16="http://schemas.microsoft.com/office/drawing/2014/main" id="{57F5A30F-BED5-43E0-98B2-B97EB8D7A7B2}"/>
            </a:ext>
          </a:extLst>
        </xdr:cNvPr>
        <xdr:cNvCxnSpPr/>
      </xdr:nvCxnSpPr>
      <xdr:spPr>
        <a:xfrm flipH="1">
          <a:off x="12925425" y="781050"/>
          <a:ext cx="866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19</xdr:row>
      <xdr:rowOff>123825</xdr:rowOff>
    </xdr:from>
    <xdr:to>
      <xdr:col>10</xdr:col>
      <xdr:colOff>914400</xdr:colOff>
      <xdr:row>19</xdr:row>
      <xdr:rowOff>123825</xdr:rowOff>
    </xdr:to>
    <xdr:cxnSp macro="">
      <xdr:nvCxnSpPr>
        <xdr:cNvPr id="11" name="Rechte verbindingslijn met pijl 10">
          <a:extLst>
            <a:ext uri="{FF2B5EF4-FFF2-40B4-BE49-F238E27FC236}">
              <a16:creationId xmlns:a16="http://schemas.microsoft.com/office/drawing/2014/main" id="{15B75E52-F9F6-4601-8C4E-925F3F5D645A}"/>
            </a:ext>
          </a:extLst>
        </xdr:cNvPr>
        <xdr:cNvCxnSpPr/>
      </xdr:nvCxnSpPr>
      <xdr:spPr>
        <a:xfrm flipH="1">
          <a:off x="12925425" y="781050"/>
          <a:ext cx="866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21</xdr:row>
      <xdr:rowOff>123825</xdr:rowOff>
    </xdr:from>
    <xdr:to>
      <xdr:col>10</xdr:col>
      <xdr:colOff>914400</xdr:colOff>
      <xdr:row>21</xdr:row>
      <xdr:rowOff>123825</xdr:rowOff>
    </xdr:to>
    <xdr:cxnSp macro="">
      <xdr:nvCxnSpPr>
        <xdr:cNvPr id="12" name="Rechte verbindingslijn met pijl 11">
          <a:extLst>
            <a:ext uri="{FF2B5EF4-FFF2-40B4-BE49-F238E27FC236}">
              <a16:creationId xmlns:a16="http://schemas.microsoft.com/office/drawing/2014/main" id="{1EF6ECC0-B62D-4C63-8412-3DBFDF6EDA03}"/>
            </a:ext>
          </a:extLst>
        </xdr:cNvPr>
        <xdr:cNvCxnSpPr/>
      </xdr:nvCxnSpPr>
      <xdr:spPr>
        <a:xfrm flipH="1">
          <a:off x="12925425" y="781050"/>
          <a:ext cx="866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24</xdr:row>
      <xdr:rowOff>123825</xdr:rowOff>
    </xdr:from>
    <xdr:to>
      <xdr:col>10</xdr:col>
      <xdr:colOff>914400</xdr:colOff>
      <xdr:row>24</xdr:row>
      <xdr:rowOff>123825</xdr:rowOff>
    </xdr:to>
    <xdr:cxnSp macro="">
      <xdr:nvCxnSpPr>
        <xdr:cNvPr id="13" name="Rechte verbindingslijn met pijl 12">
          <a:extLst>
            <a:ext uri="{FF2B5EF4-FFF2-40B4-BE49-F238E27FC236}">
              <a16:creationId xmlns:a16="http://schemas.microsoft.com/office/drawing/2014/main" id="{0BB240E5-84C3-461A-863B-26B9F4B3F04F}"/>
            </a:ext>
          </a:extLst>
        </xdr:cNvPr>
        <xdr:cNvCxnSpPr/>
      </xdr:nvCxnSpPr>
      <xdr:spPr>
        <a:xfrm flipH="1">
          <a:off x="12925425" y="781050"/>
          <a:ext cx="866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2</xdr:row>
      <xdr:rowOff>123825</xdr:rowOff>
    </xdr:from>
    <xdr:to>
      <xdr:col>10</xdr:col>
      <xdr:colOff>914400</xdr:colOff>
      <xdr:row>2</xdr:row>
      <xdr:rowOff>123825</xdr:rowOff>
    </xdr:to>
    <xdr:cxnSp macro="">
      <xdr:nvCxnSpPr>
        <xdr:cNvPr id="14" name="Rechte verbindingslijn met pijl 13">
          <a:extLst>
            <a:ext uri="{FF2B5EF4-FFF2-40B4-BE49-F238E27FC236}">
              <a16:creationId xmlns:a16="http://schemas.microsoft.com/office/drawing/2014/main" id="{73AB89FB-256A-4F0B-BFCC-C245D2A96304}"/>
            </a:ext>
          </a:extLst>
        </xdr:cNvPr>
        <xdr:cNvCxnSpPr/>
      </xdr:nvCxnSpPr>
      <xdr:spPr>
        <a:xfrm flipH="1">
          <a:off x="12925425" y="781050"/>
          <a:ext cx="866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4</xdr:row>
      <xdr:rowOff>123825</xdr:rowOff>
    </xdr:from>
    <xdr:to>
      <xdr:col>10</xdr:col>
      <xdr:colOff>914400</xdr:colOff>
      <xdr:row>4</xdr:row>
      <xdr:rowOff>123825</xdr:rowOff>
    </xdr:to>
    <xdr:cxnSp macro="">
      <xdr:nvCxnSpPr>
        <xdr:cNvPr id="15" name="Rechte verbindingslijn met pijl 14">
          <a:extLst>
            <a:ext uri="{FF2B5EF4-FFF2-40B4-BE49-F238E27FC236}">
              <a16:creationId xmlns:a16="http://schemas.microsoft.com/office/drawing/2014/main" id="{2968D9E0-5D0B-4F19-9A99-1FBD62806A7C}"/>
            </a:ext>
          </a:extLst>
        </xdr:cNvPr>
        <xdr:cNvCxnSpPr/>
      </xdr:nvCxnSpPr>
      <xdr:spPr>
        <a:xfrm flipH="1">
          <a:off x="12925425" y="561975"/>
          <a:ext cx="866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6</xdr:row>
      <xdr:rowOff>123825</xdr:rowOff>
    </xdr:from>
    <xdr:to>
      <xdr:col>10</xdr:col>
      <xdr:colOff>914400</xdr:colOff>
      <xdr:row>6</xdr:row>
      <xdr:rowOff>123825</xdr:rowOff>
    </xdr:to>
    <xdr:cxnSp macro="">
      <xdr:nvCxnSpPr>
        <xdr:cNvPr id="16" name="Rechte verbindingslijn met pijl 15">
          <a:extLst>
            <a:ext uri="{FF2B5EF4-FFF2-40B4-BE49-F238E27FC236}">
              <a16:creationId xmlns:a16="http://schemas.microsoft.com/office/drawing/2014/main" id="{5A339349-9086-4E2C-96EC-BB1E5BC8EB95}"/>
            </a:ext>
          </a:extLst>
        </xdr:cNvPr>
        <xdr:cNvCxnSpPr/>
      </xdr:nvCxnSpPr>
      <xdr:spPr>
        <a:xfrm flipH="1">
          <a:off x="12925425" y="561975"/>
          <a:ext cx="866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8</xdr:row>
      <xdr:rowOff>123825</xdr:rowOff>
    </xdr:from>
    <xdr:to>
      <xdr:col>10</xdr:col>
      <xdr:colOff>914400</xdr:colOff>
      <xdr:row>8</xdr:row>
      <xdr:rowOff>123825</xdr:rowOff>
    </xdr:to>
    <xdr:cxnSp macro="">
      <xdr:nvCxnSpPr>
        <xdr:cNvPr id="17" name="Rechte verbindingslijn met pijl 16">
          <a:extLst>
            <a:ext uri="{FF2B5EF4-FFF2-40B4-BE49-F238E27FC236}">
              <a16:creationId xmlns:a16="http://schemas.microsoft.com/office/drawing/2014/main" id="{103FA1E5-436E-49D1-8FE2-E710CDDC72DA}"/>
            </a:ext>
          </a:extLst>
        </xdr:cNvPr>
        <xdr:cNvCxnSpPr/>
      </xdr:nvCxnSpPr>
      <xdr:spPr>
        <a:xfrm flipH="1">
          <a:off x="12925425" y="561975"/>
          <a:ext cx="866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10</xdr:row>
      <xdr:rowOff>123825</xdr:rowOff>
    </xdr:from>
    <xdr:to>
      <xdr:col>10</xdr:col>
      <xdr:colOff>914400</xdr:colOff>
      <xdr:row>10</xdr:row>
      <xdr:rowOff>123825</xdr:rowOff>
    </xdr:to>
    <xdr:cxnSp macro="">
      <xdr:nvCxnSpPr>
        <xdr:cNvPr id="18" name="Rechte verbindingslijn met pijl 17">
          <a:extLst>
            <a:ext uri="{FF2B5EF4-FFF2-40B4-BE49-F238E27FC236}">
              <a16:creationId xmlns:a16="http://schemas.microsoft.com/office/drawing/2014/main" id="{EC756BD0-05E8-4C4C-AB66-5E722F2EA2A9}"/>
            </a:ext>
          </a:extLst>
        </xdr:cNvPr>
        <xdr:cNvCxnSpPr/>
      </xdr:nvCxnSpPr>
      <xdr:spPr>
        <a:xfrm flipH="1">
          <a:off x="12925425" y="561975"/>
          <a:ext cx="866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12</xdr:row>
      <xdr:rowOff>123825</xdr:rowOff>
    </xdr:from>
    <xdr:to>
      <xdr:col>10</xdr:col>
      <xdr:colOff>914400</xdr:colOff>
      <xdr:row>12</xdr:row>
      <xdr:rowOff>123825</xdr:rowOff>
    </xdr:to>
    <xdr:cxnSp macro="">
      <xdr:nvCxnSpPr>
        <xdr:cNvPr id="19" name="Rechte verbindingslijn met pijl 18">
          <a:extLst>
            <a:ext uri="{FF2B5EF4-FFF2-40B4-BE49-F238E27FC236}">
              <a16:creationId xmlns:a16="http://schemas.microsoft.com/office/drawing/2014/main" id="{DA25CEDD-48FB-4E22-B068-1CB20F9A1E46}"/>
            </a:ext>
          </a:extLst>
        </xdr:cNvPr>
        <xdr:cNvCxnSpPr/>
      </xdr:nvCxnSpPr>
      <xdr:spPr>
        <a:xfrm flipH="1">
          <a:off x="12925425" y="561975"/>
          <a:ext cx="866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14</xdr:row>
      <xdr:rowOff>123825</xdr:rowOff>
    </xdr:from>
    <xdr:to>
      <xdr:col>10</xdr:col>
      <xdr:colOff>914400</xdr:colOff>
      <xdr:row>14</xdr:row>
      <xdr:rowOff>123825</xdr:rowOff>
    </xdr:to>
    <xdr:cxnSp macro="">
      <xdr:nvCxnSpPr>
        <xdr:cNvPr id="20" name="Rechte verbindingslijn met pijl 19">
          <a:extLst>
            <a:ext uri="{FF2B5EF4-FFF2-40B4-BE49-F238E27FC236}">
              <a16:creationId xmlns:a16="http://schemas.microsoft.com/office/drawing/2014/main" id="{1023CA37-0994-403A-95FF-7CD6A3E98D38}"/>
            </a:ext>
          </a:extLst>
        </xdr:cNvPr>
        <xdr:cNvCxnSpPr/>
      </xdr:nvCxnSpPr>
      <xdr:spPr>
        <a:xfrm flipH="1">
          <a:off x="12925425" y="561975"/>
          <a:ext cx="866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16</xdr:row>
      <xdr:rowOff>123825</xdr:rowOff>
    </xdr:from>
    <xdr:to>
      <xdr:col>10</xdr:col>
      <xdr:colOff>914400</xdr:colOff>
      <xdr:row>16</xdr:row>
      <xdr:rowOff>123825</xdr:rowOff>
    </xdr:to>
    <xdr:cxnSp macro="">
      <xdr:nvCxnSpPr>
        <xdr:cNvPr id="21" name="Rechte verbindingslijn met pijl 20">
          <a:extLst>
            <a:ext uri="{FF2B5EF4-FFF2-40B4-BE49-F238E27FC236}">
              <a16:creationId xmlns:a16="http://schemas.microsoft.com/office/drawing/2014/main" id="{235151F8-E2CC-436D-B6F1-3CB928FCD049}"/>
            </a:ext>
          </a:extLst>
        </xdr:cNvPr>
        <xdr:cNvCxnSpPr/>
      </xdr:nvCxnSpPr>
      <xdr:spPr>
        <a:xfrm flipH="1">
          <a:off x="12925425" y="561975"/>
          <a:ext cx="866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18</xdr:row>
      <xdr:rowOff>123825</xdr:rowOff>
    </xdr:from>
    <xdr:to>
      <xdr:col>10</xdr:col>
      <xdr:colOff>914400</xdr:colOff>
      <xdr:row>18</xdr:row>
      <xdr:rowOff>123825</xdr:rowOff>
    </xdr:to>
    <xdr:cxnSp macro="">
      <xdr:nvCxnSpPr>
        <xdr:cNvPr id="22" name="Rechte verbindingslijn met pijl 21">
          <a:extLst>
            <a:ext uri="{FF2B5EF4-FFF2-40B4-BE49-F238E27FC236}">
              <a16:creationId xmlns:a16="http://schemas.microsoft.com/office/drawing/2014/main" id="{4A95A005-BA5B-46D7-8133-29FD7E28F192}"/>
            </a:ext>
          </a:extLst>
        </xdr:cNvPr>
        <xdr:cNvCxnSpPr/>
      </xdr:nvCxnSpPr>
      <xdr:spPr>
        <a:xfrm flipH="1">
          <a:off x="12925425" y="561975"/>
          <a:ext cx="866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20</xdr:row>
      <xdr:rowOff>123825</xdr:rowOff>
    </xdr:from>
    <xdr:to>
      <xdr:col>10</xdr:col>
      <xdr:colOff>914400</xdr:colOff>
      <xdr:row>20</xdr:row>
      <xdr:rowOff>123825</xdr:rowOff>
    </xdr:to>
    <xdr:cxnSp macro="">
      <xdr:nvCxnSpPr>
        <xdr:cNvPr id="23" name="Rechte verbindingslijn met pijl 22">
          <a:extLst>
            <a:ext uri="{FF2B5EF4-FFF2-40B4-BE49-F238E27FC236}">
              <a16:creationId xmlns:a16="http://schemas.microsoft.com/office/drawing/2014/main" id="{020B2375-093B-45F6-ABBA-1ACDD43B8A69}"/>
            </a:ext>
          </a:extLst>
        </xdr:cNvPr>
        <xdr:cNvCxnSpPr/>
      </xdr:nvCxnSpPr>
      <xdr:spPr>
        <a:xfrm flipH="1">
          <a:off x="12925425" y="561975"/>
          <a:ext cx="866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22</xdr:row>
      <xdr:rowOff>123825</xdr:rowOff>
    </xdr:from>
    <xdr:to>
      <xdr:col>10</xdr:col>
      <xdr:colOff>914400</xdr:colOff>
      <xdr:row>22</xdr:row>
      <xdr:rowOff>123825</xdr:rowOff>
    </xdr:to>
    <xdr:cxnSp macro="">
      <xdr:nvCxnSpPr>
        <xdr:cNvPr id="24" name="Rechte verbindingslijn met pijl 23">
          <a:extLst>
            <a:ext uri="{FF2B5EF4-FFF2-40B4-BE49-F238E27FC236}">
              <a16:creationId xmlns:a16="http://schemas.microsoft.com/office/drawing/2014/main" id="{E7421F7A-1A3A-4ED3-BB7F-23821678C31F}"/>
            </a:ext>
          </a:extLst>
        </xdr:cNvPr>
        <xdr:cNvCxnSpPr/>
      </xdr:nvCxnSpPr>
      <xdr:spPr>
        <a:xfrm flipH="1">
          <a:off x="12925425" y="561975"/>
          <a:ext cx="866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19</xdr:row>
      <xdr:rowOff>66675</xdr:rowOff>
    </xdr:from>
    <xdr:to>
      <xdr:col>7</xdr:col>
      <xdr:colOff>133350</xdr:colOff>
      <xdr:row>19</xdr:row>
      <xdr:rowOff>95250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E437916B-C5C3-4164-8B75-CB82BE2FA26E}"/>
            </a:ext>
          </a:extLst>
        </xdr:cNvPr>
        <xdr:cNvCxnSpPr/>
      </xdr:nvCxnSpPr>
      <xdr:spPr>
        <a:xfrm>
          <a:off x="638175" y="485775"/>
          <a:ext cx="62865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150495</xdr:colOff>
      <xdr:row>1</xdr:row>
      <xdr:rowOff>74295</xdr:rowOff>
    </xdr:from>
    <xdr:to>
      <xdr:col>7</xdr:col>
      <xdr:colOff>95250</xdr:colOff>
      <xdr:row>1</xdr:row>
      <xdr:rowOff>102870</xdr:rowOff>
    </xdr:to>
    <xdr:cxnSp macro="">
      <xdr:nvCxnSpPr>
        <xdr:cNvPr id="2" name="Rechte verbindingslijn 1">
          <a:extLst>
            <a:ext uri="{FF2B5EF4-FFF2-40B4-BE49-F238E27FC236}">
              <a16:creationId xmlns:a16="http://schemas.microsoft.com/office/drawing/2014/main" id="{9AF2030B-8B40-498A-88AC-CC2AFE4D50B2}"/>
            </a:ext>
          </a:extLst>
        </xdr:cNvPr>
        <xdr:cNvCxnSpPr/>
      </xdr:nvCxnSpPr>
      <xdr:spPr>
        <a:xfrm>
          <a:off x="630555" y="333375"/>
          <a:ext cx="65341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A45"/>
  <sheetViews>
    <sheetView showGridLines="0" tabSelected="1" workbookViewId="0">
      <selection activeCell="AC27" sqref="AC27"/>
    </sheetView>
  </sheetViews>
  <sheetFormatPr defaultRowHeight="15" x14ac:dyDescent="0.25"/>
  <cols>
    <col min="1" max="1" width="4.44140625" style="2" customWidth="1"/>
    <col min="2" max="2" width="6.33203125" style="3" customWidth="1"/>
    <col min="3" max="3" width="4" style="2" customWidth="1"/>
    <col min="4" max="4" width="4.6640625" style="2" customWidth="1"/>
    <col min="5" max="5" width="26.44140625" style="2" customWidth="1"/>
    <col min="6" max="6" width="0.88671875" style="2" customWidth="1"/>
    <col min="7" max="7" width="3" style="2" customWidth="1"/>
    <col min="8" max="8" width="0.6640625" style="2" customWidth="1"/>
    <col min="9" max="9" width="39.5546875" style="2" bestFit="1" customWidth="1"/>
    <col min="10" max="10" width="5.88671875" style="2" customWidth="1"/>
    <col min="11" max="11" width="1.33203125" style="2" customWidth="1"/>
    <col min="12" max="12" width="5.5546875" style="2" customWidth="1"/>
    <col min="13" max="14" width="10.5546875" style="2" customWidth="1"/>
    <col min="15" max="15" width="10.44140625" style="2" bestFit="1" customWidth="1"/>
    <col min="16" max="18" width="9.109375" style="2"/>
    <col min="19" max="19" width="18" style="2" bestFit="1" customWidth="1"/>
    <col min="20" max="256" width="9.109375" style="2"/>
    <col min="257" max="257" width="4.44140625" style="2" customWidth="1"/>
    <col min="258" max="258" width="6.33203125" style="2" customWidth="1"/>
    <col min="259" max="259" width="4" style="2" customWidth="1"/>
    <col min="260" max="260" width="4.6640625" style="2" customWidth="1"/>
    <col min="261" max="261" width="26.44140625" style="2" customWidth="1"/>
    <col min="262" max="262" width="0.88671875" style="2" customWidth="1"/>
    <col min="263" max="263" width="3" style="2" customWidth="1"/>
    <col min="264" max="264" width="0.6640625" style="2" customWidth="1"/>
    <col min="265" max="265" width="26.44140625" style="2" bestFit="1" customWidth="1"/>
    <col min="266" max="266" width="5.88671875" style="2" customWidth="1"/>
    <col min="267" max="267" width="1.33203125" style="2" customWidth="1"/>
    <col min="268" max="268" width="5.5546875" style="2" customWidth="1"/>
    <col min="269" max="270" width="10.5546875" style="2" customWidth="1"/>
    <col min="271" max="271" width="10.44140625" style="2" bestFit="1" customWidth="1"/>
    <col min="272" max="512" width="9.109375" style="2"/>
    <col min="513" max="513" width="4.44140625" style="2" customWidth="1"/>
    <col min="514" max="514" width="6.33203125" style="2" customWidth="1"/>
    <col min="515" max="515" width="4" style="2" customWidth="1"/>
    <col min="516" max="516" width="4.6640625" style="2" customWidth="1"/>
    <col min="517" max="517" width="26.44140625" style="2" customWidth="1"/>
    <col min="518" max="518" width="0.88671875" style="2" customWidth="1"/>
    <col min="519" max="519" width="3" style="2" customWidth="1"/>
    <col min="520" max="520" width="0.6640625" style="2" customWidth="1"/>
    <col min="521" max="521" width="26.44140625" style="2" bestFit="1" customWidth="1"/>
    <col min="522" max="522" width="5.88671875" style="2" customWidth="1"/>
    <col min="523" max="523" width="1.33203125" style="2" customWidth="1"/>
    <col min="524" max="524" width="5.5546875" style="2" customWidth="1"/>
    <col min="525" max="526" width="10.5546875" style="2" customWidth="1"/>
    <col min="527" max="527" width="10.44140625" style="2" bestFit="1" customWidth="1"/>
    <col min="528" max="768" width="9.109375" style="2"/>
    <col min="769" max="769" width="4.44140625" style="2" customWidth="1"/>
    <col min="770" max="770" width="6.33203125" style="2" customWidth="1"/>
    <col min="771" max="771" width="4" style="2" customWidth="1"/>
    <col min="772" max="772" width="4.6640625" style="2" customWidth="1"/>
    <col min="773" max="773" width="26.44140625" style="2" customWidth="1"/>
    <col min="774" max="774" width="0.88671875" style="2" customWidth="1"/>
    <col min="775" max="775" width="3" style="2" customWidth="1"/>
    <col min="776" max="776" width="0.6640625" style="2" customWidth="1"/>
    <col min="777" max="777" width="26.44140625" style="2" bestFit="1" customWidth="1"/>
    <col min="778" max="778" width="5.88671875" style="2" customWidth="1"/>
    <col min="779" max="779" width="1.33203125" style="2" customWidth="1"/>
    <col min="780" max="780" width="5.5546875" style="2" customWidth="1"/>
    <col min="781" max="782" width="10.5546875" style="2" customWidth="1"/>
    <col min="783" max="783" width="10.44140625" style="2" bestFit="1" customWidth="1"/>
    <col min="784" max="1024" width="9.109375" style="2"/>
    <col min="1025" max="1025" width="4.44140625" style="2" customWidth="1"/>
    <col min="1026" max="1026" width="6.33203125" style="2" customWidth="1"/>
    <col min="1027" max="1027" width="4" style="2" customWidth="1"/>
    <col min="1028" max="1028" width="4.6640625" style="2" customWidth="1"/>
    <col min="1029" max="1029" width="26.44140625" style="2" customWidth="1"/>
    <col min="1030" max="1030" width="0.88671875" style="2" customWidth="1"/>
    <col min="1031" max="1031" width="3" style="2" customWidth="1"/>
    <col min="1032" max="1032" width="0.6640625" style="2" customWidth="1"/>
    <col min="1033" max="1033" width="26.44140625" style="2" bestFit="1" customWidth="1"/>
    <col min="1034" max="1034" width="5.88671875" style="2" customWidth="1"/>
    <col min="1035" max="1035" width="1.33203125" style="2" customWidth="1"/>
    <col min="1036" max="1036" width="5.5546875" style="2" customWidth="1"/>
    <col min="1037" max="1038" width="10.5546875" style="2" customWidth="1"/>
    <col min="1039" max="1039" width="10.44140625" style="2" bestFit="1" customWidth="1"/>
    <col min="1040" max="1280" width="9.109375" style="2"/>
    <col min="1281" max="1281" width="4.44140625" style="2" customWidth="1"/>
    <col min="1282" max="1282" width="6.33203125" style="2" customWidth="1"/>
    <col min="1283" max="1283" width="4" style="2" customWidth="1"/>
    <col min="1284" max="1284" width="4.6640625" style="2" customWidth="1"/>
    <col min="1285" max="1285" width="26.44140625" style="2" customWidth="1"/>
    <col min="1286" max="1286" width="0.88671875" style="2" customWidth="1"/>
    <col min="1287" max="1287" width="3" style="2" customWidth="1"/>
    <col min="1288" max="1288" width="0.6640625" style="2" customWidth="1"/>
    <col min="1289" max="1289" width="26.44140625" style="2" bestFit="1" customWidth="1"/>
    <col min="1290" max="1290" width="5.88671875" style="2" customWidth="1"/>
    <col min="1291" max="1291" width="1.33203125" style="2" customWidth="1"/>
    <col min="1292" max="1292" width="5.5546875" style="2" customWidth="1"/>
    <col min="1293" max="1294" width="10.5546875" style="2" customWidth="1"/>
    <col min="1295" max="1295" width="10.44140625" style="2" bestFit="1" customWidth="1"/>
    <col min="1296" max="1536" width="9.109375" style="2"/>
    <col min="1537" max="1537" width="4.44140625" style="2" customWidth="1"/>
    <col min="1538" max="1538" width="6.33203125" style="2" customWidth="1"/>
    <col min="1539" max="1539" width="4" style="2" customWidth="1"/>
    <col min="1540" max="1540" width="4.6640625" style="2" customWidth="1"/>
    <col min="1541" max="1541" width="26.44140625" style="2" customWidth="1"/>
    <col min="1542" max="1542" width="0.88671875" style="2" customWidth="1"/>
    <col min="1543" max="1543" width="3" style="2" customWidth="1"/>
    <col min="1544" max="1544" width="0.6640625" style="2" customWidth="1"/>
    <col min="1545" max="1545" width="26.44140625" style="2" bestFit="1" customWidth="1"/>
    <col min="1546" max="1546" width="5.88671875" style="2" customWidth="1"/>
    <col min="1547" max="1547" width="1.33203125" style="2" customWidth="1"/>
    <col min="1548" max="1548" width="5.5546875" style="2" customWidth="1"/>
    <col min="1549" max="1550" width="10.5546875" style="2" customWidth="1"/>
    <col min="1551" max="1551" width="10.44140625" style="2" bestFit="1" customWidth="1"/>
    <col min="1552" max="1792" width="9.109375" style="2"/>
    <col min="1793" max="1793" width="4.44140625" style="2" customWidth="1"/>
    <col min="1794" max="1794" width="6.33203125" style="2" customWidth="1"/>
    <col min="1795" max="1795" width="4" style="2" customWidth="1"/>
    <col min="1796" max="1796" width="4.6640625" style="2" customWidth="1"/>
    <col min="1797" max="1797" width="26.44140625" style="2" customWidth="1"/>
    <col min="1798" max="1798" width="0.88671875" style="2" customWidth="1"/>
    <col min="1799" max="1799" width="3" style="2" customWidth="1"/>
    <col min="1800" max="1800" width="0.6640625" style="2" customWidth="1"/>
    <col min="1801" max="1801" width="26.44140625" style="2" bestFit="1" customWidth="1"/>
    <col min="1802" max="1802" width="5.88671875" style="2" customWidth="1"/>
    <col min="1803" max="1803" width="1.33203125" style="2" customWidth="1"/>
    <col min="1804" max="1804" width="5.5546875" style="2" customWidth="1"/>
    <col min="1805" max="1806" width="10.5546875" style="2" customWidth="1"/>
    <col min="1807" max="1807" width="10.44140625" style="2" bestFit="1" customWidth="1"/>
    <col min="1808" max="2048" width="9.109375" style="2"/>
    <col min="2049" max="2049" width="4.44140625" style="2" customWidth="1"/>
    <col min="2050" max="2050" width="6.33203125" style="2" customWidth="1"/>
    <col min="2051" max="2051" width="4" style="2" customWidth="1"/>
    <col min="2052" max="2052" width="4.6640625" style="2" customWidth="1"/>
    <col min="2053" max="2053" width="26.44140625" style="2" customWidth="1"/>
    <col min="2054" max="2054" width="0.88671875" style="2" customWidth="1"/>
    <col min="2055" max="2055" width="3" style="2" customWidth="1"/>
    <col min="2056" max="2056" width="0.6640625" style="2" customWidth="1"/>
    <col min="2057" max="2057" width="26.44140625" style="2" bestFit="1" customWidth="1"/>
    <col min="2058" max="2058" width="5.88671875" style="2" customWidth="1"/>
    <col min="2059" max="2059" width="1.33203125" style="2" customWidth="1"/>
    <col min="2060" max="2060" width="5.5546875" style="2" customWidth="1"/>
    <col min="2061" max="2062" width="10.5546875" style="2" customWidth="1"/>
    <col min="2063" max="2063" width="10.44140625" style="2" bestFit="1" customWidth="1"/>
    <col min="2064" max="2304" width="9.109375" style="2"/>
    <col min="2305" max="2305" width="4.44140625" style="2" customWidth="1"/>
    <col min="2306" max="2306" width="6.33203125" style="2" customWidth="1"/>
    <col min="2307" max="2307" width="4" style="2" customWidth="1"/>
    <col min="2308" max="2308" width="4.6640625" style="2" customWidth="1"/>
    <col min="2309" max="2309" width="26.44140625" style="2" customWidth="1"/>
    <col min="2310" max="2310" width="0.88671875" style="2" customWidth="1"/>
    <col min="2311" max="2311" width="3" style="2" customWidth="1"/>
    <col min="2312" max="2312" width="0.6640625" style="2" customWidth="1"/>
    <col min="2313" max="2313" width="26.44140625" style="2" bestFit="1" customWidth="1"/>
    <col min="2314" max="2314" width="5.88671875" style="2" customWidth="1"/>
    <col min="2315" max="2315" width="1.33203125" style="2" customWidth="1"/>
    <col min="2316" max="2316" width="5.5546875" style="2" customWidth="1"/>
    <col min="2317" max="2318" width="10.5546875" style="2" customWidth="1"/>
    <col min="2319" max="2319" width="10.44140625" style="2" bestFit="1" customWidth="1"/>
    <col min="2320" max="2560" width="9.109375" style="2"/>
    <col min="2561" max="2561" width="4.44140625" style="2" customWidth="1"/>
    <col min="2562" max="2562" width="6.33203125" style="2" customWidth="1"/>
    <col min="2563" max="2563" width="4" style="2" customWidth="1"/>
    <col min="2564" max="2564" width="4.6640625" style="2" customWidth="1"/>
    <col min="2565" max="2565" width="26.44140625" style="2" customWidth="1"/>
    <col min="2566" max="2566" width="0.88671875" style="2" customWidth="1"/>
    <col min="2567" max="2567" width="3" style="2" customWidth="1"/>
    <col min="2568" max="2568" width="0.6640625" style="2" customWidth="1"/>
    <col min="2569" max="2569" width="26.44140625" style="2" bestFit="1" customWidth="1"/>
    <col min="2570" max="2570" width="5.88671875" style="2" customWidth="1"/>
    <col min="2571" max="2571" width="1.33203125" style="2" customWidth="1"/>
    <col min="2572" max="2572" width="5.5546875" style="2" customWidth="1"/>
    <col min="2573" max="2574" width="10.5546875" style="2" customWidth="1"/>
    <col min="2575" max="2575" width="10.44140625" style="2" bestFit="1" customWidth="1"/>
    <col min="2576" max="2816" width="9.109375" style="2"/>
    <col min="2817" max="2817" width="4.44140625" style="2" customWidth="1"/>
    <col min="2818" max="2818" width="6.33203125" style="2" customWidth="1"/>
    <col min="2819" max="2819" width="4" style="2" customWidth="1"/>
    <col min="2820" max="2820" width="4.6640625" style="2" customWidth="1"/>
    <col min="2821" max="2821" width="26.44140625" style="2" customWidth="1"/>
    <col min="2822" max="2822" width="0.88671875" style="2" customWidth="1"/>
    <col min="2823" max="2823" width="3" style="2" customWidth="1"/>
    <col min="2824" max="2824" width="0.6640625" style="2" customWidth="1"/>
    <col min="2825" max="2825" width="26.44140625" style="2" bestFit="1" customWidth="1"/>
    <col min="2826" max="2826" width="5.88671875" style="2" customWidth="1"/>
    <col min="2827" max="2827" width="1.33203125" style="2" customWidth="1"/>
    <col min="2828" max="2828" width="5.5546875" style="2" customWidth="1"/>
    <col min="2829" max="2830" width="10.5546875" style="2" customWidth="1"/>
    <col min="2831" max="2831" width="10.44140625" style="2" bestFit="1" customWidth="1"/>
    <col min="2832" max="3072" width="9.109375" style="2"/>
    <col min="3073" max="3073" width="4.44140625" style="2" customWidth="1"/>
    <col min="3074" max="3074" width="6.33203125" style="2" customWidth="1"/>
    <col min="3075" max="3075" width="4" style="2" customWidth="1"/>
    <col min="3076" max="3076" width="4.6640625" style="2" customWidth="1"/>
    <col min="3077" max="3077" width="26.44140625" style="2" customWidth="1"/>
    <col min="3078" max="3078" width="0.88671875" style="2" customWidth="1"/>
    <col min="3079" max="3079" width="3" style="2" customWidth="1"/>
    <col min="3080" max="3080" width="0.6640625" style="2" customWidth="1"/>
    <col min="3081" max="3081" width="26.44140625" style="2" bestFit="1" customWidth="1"/>
    <col min="3082" max="3082" width="5.88671875" style="2" customWidth="1"/>
    <col min="3083" max="3083" width="1.33203125" style="2" customWidth="1"/>
    <col min="3084" max="3084" width="5.5546875" style="2" customWidth="1"/>
    <col min="3085" max="3086" width="10.5546875" style="2" customWidth="1"/>
    <col min="3087" max="3087" width="10.44140625" style="2" bestFit="1" customWidth="1"/>
    <col min="3088" max="3328" width="9.109375" style="2"/>
    <col min="3329" max="3329" width="4.44140625" style="2" customWidth="1"/>
    <col min="3330" max="3330" width="6.33203125" style="2" customWidth="1"/>
    <col min="3331" max="3331" width="4" style="2" customWidth="1"/>
    <col min="3332" max="3332" width="4.6640625" style="2" customWidth="1"/>
    <col min="3333" max="3333" width="26.44140625" style="2" customWidth="1"/>
    <col min="3334" max="3334" width="0.88671875" style="2" customWidth="1"/>
    <col min="3335" max="3335" width="3" style="2" customWidth="1"/>
    <col min="3336" max="3336" width="0.6640625" style="2" customWidth="1"/>
    <col min="3337" max="3337" width="26.44140625" style="2" bestFit="1" customWidth="1"/>
    <col min="3338" max="3338" width="5.88671875" style="2" customWidth="1"/>
    <col min="3339" max="3339" width="1.33203125" style="2" customWidth="1"/>
    <col min="3340" max="3340" width="5.5546875" style="2" customWidth="1"/>
    <col min="3341" max="3342" width="10.5546875" style="2" customWidth="1"/>
    <col min="3343" max="3343" width="10.44140625" style="2" bestFit="1" customWidth="1"/>
    <col min="3344" max="3584" width="9.109375" style="2"/>
    <col min="3585" max="3585" width="4.44140625" style="2" customWidth="1"/>
    <col min="3586" max="3586" width="6.33203125" style="2" customWidth="1"/>
    <col min="3587" max="3587" width="4" style="2" customWidth="1"/>
    <col min="3588" max="3588" width="4.6640625" style="2" customWidth="1"/>
    <col min="3589" max="3589" width="26.44140625" style="2" customWidth="1"/>
    <col min="3590" max="3590" width="0.88671875" style="2" customWidth="1"/>
    <col min="3591" max="3591" width="3" style="2" customWidth="1"/>
    <col min="3592" max="3592" width="0.6640625" style="2" customWidth="1"/>
    <col min="3593" max="3593" width="26.44140625" style="2" bestFit="1" customWidth="1"/>
    <col min="3594" max="3594" width="5.88671875" style="2" customWidth="1"/>
    <col min="3595" max="3595" width="1.33203125" style="2" customWidth="1"/>
    <col min="3596" max="3596" width="5.5546875" style="2" customWidth="1"/>
    <col min="3597" max="3598" width="10.5546875" style="2" customWidth="1"/>
    <col min="3599" max="3599" width="10.44140625" style="2" bestFit="1" customWidth="1"/>
    <col min="3600" max="3840" width="9.109375" style="2"/>
    <col min="3841" max="3841" width="4.44140625" style="2" customWidth="1"/>
    <col min="3842" max="3842" width="6.33203125" style="2" customWidth="1"/>
    <col min="3843" max="3843" width="4" style="2" customWidth="1"/>
    <col min="3844" max="3844" width="4.6640625" style="2" customWidth="1"/>
    <col min="3845" max="3845" width="26.44140625" style="2" customWidth="1"/>
    <col min="3846" max="3846" width="0.88671875" style="2" customWidth="1"/>
    <col min="3847" max="3847" width="3" style="2" customWidth="1"/>
    <col min="3848" max="3848" width="0.6640625" style="2" customWidth="1"/>
    <col min="3849" max="3849" width="26.44140625" style="2" bestFit="1" customWidth="1"/>
    <col min="3850" max="3850" width="5.88671875" style="2" customWidth="1"/>
    <col min="3851" max="3851" width="1.33203125" style="2" customWidth="1"/>
    <col min="3852" max="3852" width="5.5546875" style="2" customWidth="1"/>
    <col min="3853" max="3854" width="10.5546875" style="2" customWidth="1"/>
    <col min="3855" max="3855" width="10.44140625" style="2" bestFit="1" customWidth="1"/>
    <col min="3856" max="4096" width="9.109375" style="2"/>
    <col min="4097" max="4097" width="4.44140625" style="2" customWidth="1"/>
    <col min="4098" max="4098" width="6.33203125" style="2" customWidth="1"/>
    <col min="4099" max="4099" width="4" style="2" customWidth="1"/>
    <col min="4100" max="4100" width="4.6640625" style="2" customWidth="1"/>
    <col min="4101" max="4101" width="26.44140625" style="2" customWidth="1"/>
    <col min="4102" max="4102" width="0.88671875" style="2" customWidth="1"/>
    <col min="4103" max="4103" width="3" style="2" customWidth="1"/>
    <col min="4104" max="4104" width="0.6640625" style="2" customWidth="1"/>
    <col min="4105" max="4105" width="26.44140625" style="2" bestFit="1" customWidth="1"/>
    <col min="4106" max="4106" width="5.88671875" style="2" customWidth="1"/>
    <col min="4107" max="4107" width="1.33203125" style="2" customWidth="1"/>
    <col min="4108" max="4108" width="5.5546875" style="2" customWidth="1"/>
    <col min="4109" max="4110" width="10.5546875" style="2" customWidth="1"/>
    <col min="4111" max="4111" width="10.44140625" style="2" bestFit="1" customWidth="1"/>
    <col min="4112" max="4352" width="9.109375" style="2"/>
    <col min="4353" max="4353" width="4.44140625" style="2" customWidth="1"/>
    <col min="4354" max="4354" width="6.33203125" style="2" customWidth="1"/>
    <col min="4355" max="4355" width="4" style="2" customWidth="1"/>
    <col min="4356" max="4356" width="4.6640625" style="2" customWidth="1"/>
    <col min="4357" max="4357" width="26.44140625" style="2" customWidth="1"/>
    <col min="4358" max="4358" width="0.88671875" style="2" customWidth="1"/>
    <col min="4359" max="4359" width="3" style="2" customWidth="1"/>
    <col min="4360" max="4360" width="0.6640625" style="2" customWidth="1"/>
    <col min="4361" max="4361" width="26.44140625" style="2" bestFit="1" customWidth="1"/>
    <col min="4362" max="4362" width="5.88671875" style="2" customWidth="1"/>
    <col min="4363" max="4363" width="1.33203125" style="2" customWidth="1"/>
    <col min="4364" max="4364" width="5.5546875" style="2" customWidth="1"/>
    <col min="4365" max="4366" width="10.5546875" style="2" customWidth="1"/>
    <col min="4367" max="4367" width="10.44140625" style="2" bestFit="1" customWidth="1"/>
    <col min="4368" max="4608" width="9.109375" style="2"/>
    <col min="4609" max="4609" width="4.44140625" style="2" customWidth="1"/>
    <col min="4610" max="4610" width="6.33203125" style="2" customWidth="1"/>
    <col min="4611" max="4611" width="4" style="2" customWidth="1"/>
    <col min="4612" max="4612" width="4.6640625" style="2" customWidth="1"/>
    <col min="4613" max="4613" width="26.44140625" style="2" customWidth="1"/>
    <col min="4614" max="4614" width="0.88671875" style="2" customWidth="1"/>
    <col min="4615" max="4615" width="3" style="2" customWidth="1"/>
    <col min="4616" max="4616" width="0.6640625" style="2" customWidth="1"/>
    <col min="4617" max="4617" width="26.44140625" style="2" bestFit="1" customWidth="1"/>
    <col min="4618" max="4618" width="5.88671875" style="2" customWidth="1"/>
    <col min="4619" max="4619" width="1.33203125" style="2" customWidth="1"/>
    <col min="4620" max="4620" width="5.5546875" style="2" customWidth="1"/>
    <col min="4621" max="4622" width="10.5546875" style="2" customWidth="1"/>
    <col min="4623" max="4623" width="10.44140625" style="2" bestFit="1" customWidth="1"/>
    <col min="4624" max="4864" width="9.109375" style="2"/>
    <col min="4865" max="4865" width="4.44140625" style="2" customWidth="1"/>
    <col min="4866" max="4866" width="6.33203125" style="2" customWidth="1"/>
    <col min="4867" max="4867" width="4" style="2" customWidth="1"/>
    <col min="4868" max="4868" width="4.6640625" style="2" customWidth="1"/>
    <col min="4869" max="4869" width="26.44140625" style="2" customWidth="1"/>
    <col min="4870" max="4870" width="0.88671875" style="2" customWidth="1"/>
    <col min="4871" max="4871" width="3" style="2" customWidth="1"/>
    <col min="4872" max="4872" width="0.6640625" style="2" customWidth="1"/>
    <col min="4873" max="4873" width="26.44140625" style="2" bestFit="1" customWidth="1"/>
    <col min="4874" max="4874" width="5.88671875" style="2" customWidth="1"/>
    <col min="4875" max="4875" width="1.33203125" style="2" customWidth="1"/>
    <col min="4876" max="4876" width="5.5546875" style="2" customWidth="1"/>
    <col min="4877" max="4878" width="10.5546875" style="2" customWidth="1"/>
    <col min="4879" max="4879" width="10.44140625" style="2" bestFit="1" customWidth="1"/>
    <col min="4880" max="5120" width="9.109375" style="2"/>
    <col min="5121" max="5121" width="4.44140625" style="2" customWidth="1"/>
    <col min="5122" max="5122" width="6.33203125" style="2" customWidth="1"/>
    <col min="5123" max="5123" width="4" style="2" customWidth="1"/>
    <col min="5124" max="5124" width="4.6640625" style="2" customWidth="1"/>
    <col min="5125" max="5125" width="26.44140625" style="2" customWidth="1"/>
    <col min="5126" max="5126" width="0.88671875" style="2" customWidth="1"/>
    <col min="5127" max="5127" width="3" style="2" customWidth="1"/>
    <col min="5128" max="5128" width="0.6640625" style="2" customWidth="1"/>
    <col min="5129" max="5129" width="26.44140625" style="2" bestFit="1" customWidth="1"/>
    <col min="5130" max="5130" width="5.88671875" style="2" customWidth="1"/>
    <col min="5131" max="5131" width="1.33203125" style="2" customWidth="1"/>
    <col min="5132" max="5132" width="5.5546875" style="2" customWidth="1"/>
    <col min="5133" max="5134" width="10.5546875" style="2" customWidth="1"/>
    <col min="5135" max="5135" width="10.44140625" style="2" bestFit="1" customWidth="1"/>
    <col min="5136" max="5376" width="9.109375" style="2"/>
    <col min="5377" max="5377" width="4.44140625" style="2" customWidth="1"/>
    <col min="5378" max="5378" width="6.33203125" style="2" customWidth="1"/>
    <col min="5379" max="5379" width="4" style="2" customWidth="1"/>
    <col min="5380" max="5380" width="4.6640625" style="2" customWidth="1"/>
    <col min="5381" max="5381" width="26.44140625" style="2" customWidth="1"/>
    <col min="5382" max="5382" width="0.88671875" style="2" customWidth="1"/>
    <col min="5383" max="5383" width="3" style="2" customWidth="1"/>
    <col min="5384" max="5384" width="0.6640625" style="2" customWidth="1"/>
    <col min="5385" max="5385" width="26.44140625" style="2" bestFit="1" customWidth="1"/>
    <col min="5386" max="5386" width="5.88671875" style="2" customWidth="1"/>
    <col min="5387" max="5387" width="1.33203125" style="2" customWidth="1"/>
    <col min="5388" max="5388" width="5.5546875" style="2" customWidth="1"/>
    <col min="5389" max="5390" width="10.5546875" style="2" customWidth="1"/>
    <col min="5391" max="5391" width="10.44140625" style="2" bestFit="1" customWidth="1"/>
    <col min="5392" max="5632" width="9.109375" style="2"/>
    <col min="5633" max="5633" width="4.44140625" style="2" customWidth="1"/>
    <col min="5634" max="5634" width="6.33203125" style="2" customWidth="1"/>
    <col min="5635" max="5635" width="4" style="2" customWidth="1"/>
    <col min="5636" max="5636" width="4.6640625" style="2" customWidth="1"/>
    <col min="5637" max="5637" width="26.44140625" style="2" customWidth="1"/>
    <col min="5638" max="5638" width="0.88671875" style="2" customWidth="1"/>
    <col min="5639" max="5639" width="3" style="2" customWidth="1"/>
    <col min="5640" max="5640" width="0.6640625" style="2" customWidth="1"/>
    <col min="5641" max="5641" width="26.44140625" style="2" bestFit="1" customWidth="1"/>
    <col min="5642" max="5642" width="5.88671875" style="2" customWidth="1"/>
    <col min="5643" max="5643" width="1.33203125" style="2" customWidth="1"/>
    <col min="5644" max="5644" width="5.5546875" style="2" customWidth="1"/>
    <col min="5645" max="5646" width="10.5546875" style="2" customWidth="1"/>
    <col min="5647" max="5647" width="10.44140625" style="2" bestFit="1" customWidth="1"/>
    <col min="5648" max="5888" width="9.109375" style="2"/>
    <col min="5889" max="5889" width="4.44140625" style="2" customWidth="1"/>
    <col min="5890" max="5890" width="6.33203125" style="2" customWidth="1"/>
    <col min="5891" max="5891" width="4" style="2" customWidth="1"/>
    <col min="5892" max="5892" width="4.6640625" style="2" customWidth="1"/>
    <col min="5893" max="5893" width="26.44140625" style="2" customWidth="1"/>
    <col min="5894" max="5894" width="0.88671875" style="2" customWidth="1"/>
    <col min="5895" max="5895" width="3" style="2" customWidth="1"/>
    <col min="5896" max="5896" width="0.6640625" style="2" customWidth="1"/>
    <col min="5897" max="5897" width="26.44140625" style="2" bestFit="1" customWidth="1"/>
    <col min="5898" max="5898" width="5.88671875" style="2" customWidth="1"/>
    <col min="5899" max="5899" width="1.33203125" style="2" customWidth="1"/>
    <col min="5900" max="5900" width="5.5546875" style="2" customWidth="1"/>
    <col min="5901" max="5902" width="10.5546875" style="2" customWidth="1"/>
    <col min="5903" max="5903" width="10.44140625" style="2" bestFit="1" customWidth="1"/>
    <col min="5904" max="6144" width="9.109375" style="2"/>
    <col min="6145" max="6145" width="4.44140625" style="2" customWidth="1"/>
    <col min="6146" max="6146" width="6.33203125" style="2" customWidth="1"/>
    <col min="6147" max="6147" width="4" style="2" customWidth="1"/>
    <col min="6148" max="6148" width="4.6640625" style="2" customWidth="1"/>
    <col min="6149" max="6149" width="26.44140625" style="2" customWidth="1"/>
    <col min="6150" max="6150" width="0.88671875" style="2" customWidth="1"/>
    <col min="6151" max="6151" width="3" style="2" customWidth="1"/>
    <col min="6152" max="6152" width="0.6640625" style="2" customWidth="1"/>
    <col min="6153" max="6153" width="26.44140625" style="2" bestFit="1" customWidth="1"/>
    <col min="6154" max="6154" width="5.88671875" style="2" customWidth="1"/>
    <col min="6155" max="6155" width="1.33203125" style="2" customWidth="1"/>
    <col min="6156" max="6156" width="5.5546875" style="2" customWidth="1"/>
    <col min="6157" max="6158" width="10.5546875" style="2" customWidth="1"/>
    <col min="6159" max="6159" width="10.44140625" style="2" bestFit="1" customWidth="1"/>
    <col min="6160" max="6400" width="9.109375" style="2"/>
    <col min="6401" max="6401" width="4.44140625" style="2" customWidth="1"/>
    <col min="6402" max="6402" width="6.33203125" style="2" customWidth="1"/>
    <col min="6403" max="6403" width="4" style="2" customWidth="1"/>
    <col min="6404" max="6404" width="4.6640625" style="2" customWidth="1"/>
    <col min="6405" max="6405" width="26.44140625" style="2" customWidth="1"/>
    <col min="6406" max="6406" width="0.88671875" style="2" customWidth="1"/>
    <col min="6407" max="6407" width="3" style="2" customWidth="1"/>
    <col min="6408" max="6408" width="0.6640625" style="2" customWidth="1"/>
    <col min="6409" max="6409" width="26.44140625" style="2" bestFit="1" customWidth="1"/>
    <col min="6410" max="6410" width="5.88671875" style="2" customWidth="1"/>
    <col min="6411" max="6411" width="1.33203125" style="2" customWidth="1"/>
    <col min="6412" max="6412" width="5.5546875" style="2" customWidth="1"/>
    <col min="6413" max="6414" width="10.5546875" style="2" customWidth="1"/>
    <col min="6415" max="6415" width="10.44140625" style="2" bestFit="1" customWidth="1"/>
    <col min="6416" max="6656" width="9.109375" style="2"/>
    <col min="6657" max="6657" width="4.44140625" style="2" customWidth="1"/>
    <col min="6658" max="6658" width="6.33203125" style="2" customWidth="1"/>
    <col min="6659" max="6659" width="4" style="2" customWidth="1"/>
    <col min="6660" max="6660" width="4.6640625" style="2" customWidth="1"/>
    <col min="6661" max="6661" width="26.44140625" style="2" customWidth="1"/>
    <col min="6662" max="6662" width="0.88671875" style="2" customWidth="1"/>
    <col min="6663" max="6663" width="3" style="2" customWidth="1"/>
    <col min="6664" max="6664" width="0.6640625" style="2" customWidth="1"/>
    <col min="6665" max="6665" width="26.44140625" style="2" bestFit="1" customWidth="1"/>
    <col min="6666" max="6666" width="5.88671875" style="2" customWidth="1"/>
    <col min="6667" max="6667" width="1.33203125" style="2" customWidth="1"/>
    <col min="6668" max="6668" width="5.5546875" style="2" customWidth="1"/>
    <col min="6669" max="6670" width="10.5546875" style="2" customWidth="1"/>
    <col min="6671" max="6671" width="10.44140625" style="2" bestFit="1" customWidth="1"/>
    <col min="6672" max="6912" width="9.109375" style="2"/>
    <col min="6913" max="6913" width="4.44140625" style="2" customWidth="1"/>
    <col min="6914" max="6914" width="6.33203125" style="2" customWidth="1"/>
    <col min="6915" max="6915" width="4" style="2" customWidth="1"/>
    <col min="6916" max="6916" width="4.6640625" style="2" customWidth="1"/>
    <col min="6917" max="6917" width="26.44140625" style="2" customWidth="1"/>
    <col min="6918" max="6918" width="0.88671875" style="2" customWidth="1"/>
    <col min="6919" max="6919" width="3" style="2" customWidth="1"/>
    <col min="6920" max="6920" width="0.6640625" style="2" customWidth="1"/>
    <col min="6921" max="6921" width="26.44140625" style="2" bestFit="1" customWidth="1"/>
    <col min="6922" max="6922" width="5.88671875" style="2" customWidth="1"/>
    <col min="6923" max="6923" width="1.33203125" style="2" customWidth="1"/>
    <col min="6924" max="6924" width="5.5546875" style="2" customWidth="1"/>
    <col min="6925" max="6926" width="10.5546875" style="2" customWidth="1"/>
    <col min="6927" max="6927" width="10.44140625" style="2" bestFit="1" customWidth="1"/>
    <col min="6928" max="7168" width="9.109375" style="2"/>
    <col min="7169" max="7169" width="4.44140625" style="2" customWidth="1"/>
    <col min="7170" max="7170" width="6.33203125" style="2" customWidth="1"/>
    <col min="7171" max="7171" width="4" style="2" customWidth="1"/>
    <col min="7172" max="7172" width="4.6640625" style="2" customWidth="1"/>
    <col min="7173" max="7173" width="26.44140625" style="2" customWidth="1"/>
    <col min="7174" max="7174" width="0.88671875" style="2" customWidth="1"/>
    <col min="7175" max="7175" width="3" style="2" customWidth="1"/>
    <col min="7176" max="7176" width="0.6640625" style="2" customWidth="1"/>
    <col min="7177" max="7177" width="26.44140625" style="2" bestFit="1" customWidth="1"/>
    <col min="7178" max="7178" width="5.88671875" style="2" customWidth="1"/>
    <col min="7179" max="7179" width="1.33203125" style="2" customWidth="1"/>
    <col min="7180" max="7180" width="5.5546875" style="2" customWidth="1"/>
    <col min="7181" max="7182" width="10.5546875" style="2" customWidth="1"/>
    <col min="7183" max="7183" width="10.44140625" style="2" bestFit="1" customWidth="1"/>
    <col min="7184" max="7424" width="9.109375" style="2"/>
    <col min="7425" max="7425" width="4.44140625" style="2" customWidth="1"/>
    <col min="7426" max="7426" width="6.33203125" style="2" customWidth="1"/>
    <col min="7427" max="7427" width="4" style="2" customWidth="1"/>
    <col min="7428" max="7428" width="4.6640625" style="2" customWidth="1"/>
    <col min="7429" max="7429" width="26.44140625" style="2" customWidth="1"/>
    <col min="7430" max="7430" width="0.88671875" style="2" customWidth="1"/>
    <col min="7431" max="7431" width="3" style="2" customWidth="1"/>
    <col min="7432" max="7432" width="0.6640625" style="2" customWidth="1"/>
    <col min="7433" max="7433" width="26.44140625" style="2" bestFit="1" customWidth="1"/>
    <col min="7434" max="7434" width="5.88671875" style="2" customWidth="1"/>
    <col min="7435" max="7435" width="1.33203125" style="2" customWidth="1"/>
    <col min="7436" max="7436" width="5.5546875" style="2" customWidth="1"/>
    <col min="7437" max="7438" width="10.5546875" style="2" customWidth="1"/>
    <col min="7439" max="7439" width="10.44140625" style="2" bestFit="1" customWidth="1"/>
    <col min="7440" max="7680" width="9.109375" style="2"/>
    <col min="7681" max="7681" width="4.44140625" style="2" customWidth="1"/>
    <col min="7682" max="7682" width="6.33203125" style="2" customWidth="1"/>
    <col min="7683" max="7683" width="4" style="2" customWidth="1"/>
    <col min="7684" max="7684" width="4.6640625" style="2" customWidth="1"/>
    <col min="7685" max="7685" width="26.44140625" style="2" customWidth="1"/>
    <col min="7686" max="7686" width="0.88671875" style="2" customWidth="1"/>
    <col min="7687" max="7687" width="3" style="2" customWidth="1"/>
    <col min="7688" max="7688" width="0.6640625" style="2" customWidth="1"/>
    <col min="7689" max="7689" width="26.44140625" style="2" bestFit="1" customWidth="1"/>
    <col min="7690" max="7690" width="5.88671875" style="2" customWidth="1"/>
    <col min="7691" max="7691" width="1.33203125" style="2" customWidth="1"/>
    <col min="7692" max="7692" width="5.5546875" style="2" customWidth="1"/>
    <col min="7693" max="7694" width="10.5546875" style="2" customWidth="1"/>
    <col min="7695" max="7695" width="10.44140625" style="2" bestFit="1" customWidth="1"/>
    <col min="7696" max="7936" width="9.109375" style="2"/>
    <col min="7937" max="7937" width="4.44140625" style="2" customWidth="1"/>
    <col min="7938" max="7938" width="6.33203125" style="2" customWidth="1"/>
    <col min="7939" max="7939" width="4" style="2" customWidth="1"/>
    <col min="7940" max="7940" width="4.6640625" style="2" customWidth="1"/>
    <col min="7941" max="7941" width="26.44140625" style="2" customWidth="1"/>
    <col min="7942" max="7942" width="0.88671875" style="2" customWidth="1"/>
    <col min="7943" max="7943" width="3" style="2" customWidth="1"/>
    <col min="7944" max="7944" width="0.6640625" style="2" customWidth="1"/>
    <col min="7945" max="7945" width="26.44140625" style="2" bestFit="1" customWidth="1"/>
    <col min="7946" max="7946" width="5.88671875" style="2" customWidth="1"/>
    <col min="7947" max="7947" width="1.33203125" style="2" customWidth="1"/>
    <col min="7948" max="7948" width="5.5546875" style="2" customWidth="1"/>
    <col min="7949" max="7950" width="10.5546875" style="2" customWidth="1"/>
    <col min="7951" max="7951" width="10.44140625" style="2" bestFit="1" customWidth="1"/>
    <col min="7952" max="8192" width="9.109375" style="2"/>
    <col min="8193" max="8193" width="4.44140625" style="2" customWidth="1"/>
    <col min="8194" max="8194" width="6.33203125" style="2" customWidth="1"/>
    <col min="8195" max="8195" width="4" style="2" customWidth="1"/>
    <col min="8196" max="8196" width="4.6640625" style="2" customWidth="1"/>
    <col min="8197" max="8197" width="26.44140625" style="2" customWidth="1"/>
    <col min="8198" max="8198" width="0.88671875" style="2" customWidth="1"/>
    <col min="8199" max="8199" width="3" style="2" customWidth="1"/>
    <col min="8200" max="8200" width="0.6640625" style="2" customWidth="1"/>
    <col min="8201" max="8201" width="26.44140625" style="2" bestFit="1" customWidth="1"/>
    <col min="8202" max="8202" width="5.88671875" style="2" customWidth="1"/>
    <col min="8203" max="8203" width="1.33203125" style="2" customWidth="1"/>
    <col min="8204" max="8204" width="5.5546875" style="2" customWidth="1"/>
    <col min="8205" max="8206" width="10.5546875" style="2" customWidth="1"/>
    <col min="8207" max="8207" width="10.44140625" style="2" bestFit="1" customWidth="1"/>
    <col min="8208" max="8448" width="9.109375" style="2"/>
    <col min="8449" max="8449" width="4.44140625" style="2" customWidth="1"/>
    <col min="8450" max="8450" width="6.33203125" style="2" customWidth="1"/>
    <col min="8451" max="8451" width="4" style="2" customWidth="1"/>
    <col min="8452" max="8452" width="4.6640625" style="2" customWidth="1"/>
    <col min="8453" max="8453" width="26.44140625" style="2" customWidth="1"/>
    <col min="8454" max="8454" width="0.88671875" style="2" customWidth="1"/>
    <col min="8455" max="8455" width="3" style="2" customWidth="1"/>
    <col min="8456" max="8456" width="0.6640625" style="2" customWidth="1"/>
    <col min="8457" max="8457" width="26.44140625" style="2" bestFit="1" customWidth="1"/>
    <col min="8458" max="8458" width="5.88671875" style="2" customWidth="1"/>
    <col min="8459" max="8459" width="1.33203125" style="2" customWidth="1"/>
    <col min="8460" max="8460" width="5.5546875" style="2" customWidth="1"/>
    <col min="8461" max="8462" width="10.5546875" style="2" customWidth="1"/>
    <col min="8463" max="8463" width="10.44140625" style="2" bestFit="1" customWidth="1"/>
    <col min="8464" max="8704" width="9.109375" style="2"/>
    <col min="8705" max="8705" width="4.44140625" style="2" customWidth="1"/>
    <col min="8706" max="8706" width="6.33203125" style="2" customWidth="1"/>
    <col min="8707" max="8707" width="4" style="2" customWidth="1"/>
    <col min="8708" max="8708" width="4.6640625" style="2" customWidth="1"/>
    <col min="8709" max="8709" width="26.44140625" style="2" customWidth="1"/>
    <col min="8710" max="8710" width="0.88671875" style="2" customWidth="1"/>
    <col min="8711" max="8711" width="3" style="2" customWidth="1"/>
    <col min="8712" max="8712" width="0.6640625" style="2" customWidth="1"/>
    <col min="8713" max="8713" width="26.44140625" style="2" bestFit="1" customWidth="1"/>
    <col min="8714" max="8714" width="5.88671875" style="2" customWidth="1"/>
    <col min="8715" max="8715" width="1.33203125" style="2" customWidth="1"/>
    <col min="8716" max="8716" width="5.5546875" style="2" customWidth="1"/>
    <col min="8717" max="8718" width="10.5546875" style="2" customWidth="1"/>
    <col min="8719" max="8719" width="10.44140625" style="2" bestFit="1" customWidth="1"/>
    <col min="8720" max="8960" width="9.109375" style="2"/>
    <col min="8961" max="8961" width="4.44140625" style="2" customWidth="1"/>
    <col min="8962" max="8962" width="6.33203125" style="2" customWidth="1"/>
    <col min="8963" max="8963" width="4" style="2" customWidth="1"/>
    <col min="8964" max="8964" width="4.6640625" style="2" customWidth="1"/>
    <col min="8965" max="8965" width="26.44140625" style="2" customWidth="1"/>
    <col min="8966" max="8966" width="0.88671875" style="2" customWidth="1"/>
    <col min="8967" max="8967" width="3" style="2" customWidth="1"/>
    <col min="8968" max="8968" width="0.6640625" style="2" customWidth="1"/>
    <col min="8969" max="8969" width="26.44140625" style="2" bestFit="1" customWidth="1"/>
    <col min="8970" max="8970" width="5.88671875" style="2" customWidth="1"/>
    <col min="8971" max="8971" width="1.33203125" style="2" customWidth="1"/>
    <col min="8972" max="8972" width="5.5546875" style="2" customWidth="1"/>
    <col min="8973" max="8974" width="10.5546875" style="2" customWidth="1"/>
    <col min="8975" max="8975" width="10.44140625" style="2" bestFit="1" customWidth="1"/>
    <col min="8976" max="9216" width="9.109375" style="2"/>
    <col min="9217" max="9217" width="4.44140625" style="2" customWidth="1"/>
    <col min="9218" max="9218" width="6.33203125" style="2" customWidth="1"/>
    <col min="9219" max="9219" width="4" style="2" customWidth="1"/>
    <col min="9220" max="9220" width="4.6640625" style="2" customWidth="1"/>
    <col min="9221" max="9221" width="26.44140625" style="2" customWidth="1"/>
    <col min="9222" max="9222" width="0.88671875" style="2" customWidth="1"/>
    <col min="9223" max="9223" width="3" style="2" customWidth="1"/>
    <col min="9224" max="9224" width="0.6640625" style="2" customWidth="1"/>
    <col min="9225" max="9225" width="26.44140625" style="2" bestFit="1" customWidth="1"/>
    <col min="9226" max="9226" width="5.88671875" style="2" customWidth="1"/>
    <col min="9227" max="9227" width="1.33203125" style="2" customWidth="1"/>
    <col min="9228" max="9228" width="5.5546875" style="2" customWidth="1"/>
    <col min="9229" max="9230" width="10.5546875" style="2" customWidth="1"/>
    <col min="9231" max="9231" width="10.44140625" style="2" bestFit="1" customWidth="1"/>
    <col min="9232" max="9472" width="9.109375" style="2"/>
    <col min="9473" max="9473" width="4.44140625" style="2" customWidth="1"/>
    <col min="9474" max="9474" width="6.33203125" style="2" customWidth="1"/>
    <col min="9475" max="9475" width="4" style="2" customWidth="1"/>
    <col min="9476" max="9476" width="4.6640625" style="2" customWidth="1"/>
    <col min="9477" max="9477" width="26.44140625" style="2" customWidth="1"/>
    <col min="9478" max="9478" width="0.88671875" style="2" customWidth="1"/>
    <col min="9479" max="9479" width="3" style="2" customWidth="1"/>
    <col min="9480" max="9480" width="0.6640625" style="2" customWidth="1"/>
    <col min="9481" max="9481" width="26.44140625" style="2" bestFit="1" customWidth="1"/>
    <col min="9482" max="9482" width="5.88671875" style="2" customWidth="1"/>
    <col min="9483" max="9483" width="1.33203125" style="2" customWidth="1"/>
    <col min="9484" max="9484" width="5.5546875" style="2" customWidth="1"/>
    <col min="9485" max="9486" width="10.5546875" style="2" customWidth="1"/>
    <col min="9487" max="9487" width="10.44140625" style="2" bestFit="1" customWidth="1"/>
    <col min="9488" max="9728" width="9.109375" style="2"/>
    <col min="9729" max="9729" width="4.44140625" style="2" customWidth="1"/>
    <col min="9730" max="9730" width="6.33203125" style="2" customWidth="1"/>
    <col min="9731" max="9731" width="4" style="2" customWidth="1"/>
    <col min="9732" max="9732" width="4.6640625" style="2" customWidth="1"/>
    <col min="9733" max="9733" width="26.44140625" style="2" customWidth="1"/>
    <col min="9734" max="9734" width="0.88671875" style="2" customWidth="1"/>
    <col min="9735" max="9735" width="3" style="2" customWidth="1"/>
    <col min="9736" max="9736" width="0.6640625" style="2" customWidth="1"/>
    <col min="9737" max="9737" width="26.44140625" style="2" bestFit="1" customWidth="1"/>
    <col min="9738" max="9738" width="5.88671875" style="2" customWidth="1"/>
    <col min="9739" max="9739" width="1.33203125" style="2" customWidth="1"/>
    <col min="9740" max="9740" width="5.5546875" style="2" customWidth="1"/>
    <col min="9741" max="9742" width="10.5546875" style="2" customWidth="1"/>
    <col min="9743" max="9743" width="10.44140625" style="2" bestFit="1" customWidth="1"/>
    <col min="9744" max="9984" width="9.109375" style="2"/>
    <col min="9985" max="9985" width="4.44140625" style="2" customWidth="1"/>
    <col min="9986" max="9986" width="6.33203125" style="2" customWidth="1"/>
    <col min="9987" max="9987" width="4" style="2" customWidth="1"/>
    <col min="9988" max="9988" width="4.6640625" style="2" customWidth="1"/>
    <col min="9989" max="9989" width="26.44140625" style="2" customWidth="1"/>
    <col min="9990" max="9990" width="0.88671875" style="2" customWidth="1"/>
    <col min="9991" max="9991" width="3" style="2" customWidth="1"/>
    <col min="9992" max="9992" width="0.6640625" style="2" customWidth="1"/>
    <col min="9993" max="9993" width="26.44140625" style="2" bestFit="1" customWidth="1"/>
    <col min="9994" max="9994" width="5.88671875" style="2" customWidth="1"/>
    <col min="9995" max="9995" width="1.33203125" style="2" customWidth="1"/>
    <col min="9996" max="9996" width="5.5546875" style="2" customWidth="1"/>
    <col min="9997" max="9998" width="10.5546875" style="2" customWidth="1"/>
    <col min="9999" max="9999" width="10.44140625" style="2" bestFit="1" customWidth="1"/>
    <col min="10000" max="10240" width="9.109375" style="2"/>
    <col min="10241" max="10241" width="4.44140625" style="2" customWidth="1"/>
    <col min="10242" max="10242" width="6.33203125" style="2" customWidth="1"/>
    <col min="10243" max="10243" width="4" style="2" customWidth="1"/>
    <col min="10244" max="10244" width="4.6640625" style="2" customWidth="1"/>
    <col min="10245" max="10245" width="26.44140625" style="2" customWidth="1"/>
    <col min="10246" max="10246" width="0.88671875" style="2" customWidth="1"/>
    <col min="10247" max="10247" width="3" style="2" customWidth="1"/>
    <col min="10248" max="10248" width="0.6640625" style="2" customWidth="1"/>
    <col min="10249" max="10249" width="26.44140625" style="2" bestFit="1" customWidth="1"/>
    <col min="10250" max="10250" width="5.88671875" style="2" customWidth="1"/>
    <col min="10251" max="10251" width="1.33203125" style="2" customWidth="1"/>
    <col min="10252" max="10252" width="5.5546875" style="2" customWidth="1"/>
    <col min="10253" max="10254" width="10.5546875" style="2" customWidth="1"/>
    <col min="10255" max="10255" width="10.44140625" style="2" bestFit="1" customWidth="1"/>
    <col min="10256" max="10496" width="9.109375" style="2"/>
    <col min="10497" max="10497" width="4.44140625" style="2" customWidth="1"/>
    <col min="10498" max="10498" width="6.33203125" style="2" customWidth="1"/>
    <col min="10499" max="10499" width="4" style="2" customWidth="1"/>
    <col min="10500" max="10500" width="4.6640625" style="2" customWidth="1"/>
    <col min="10501" max="10501" width="26.44140625" style="2" customWidth="1"/>
    <col min="10502" max="10502" width="0.88671875" style="2" customWidth="1"/>
    <col min="10503" max="10503" width="3" style="2" customWidth="1"/>
    <col min="10504" max="10504" width="0.6640625" style="2" customWidth="1"/>
    <col min="10505" max="10505" width="26.44140625" style="2" bestFit="1" customWidth="1"/>
    <col min="10506" max="10506" width="5.88671875" style="2" customWidth="1"/>
    <col min="10507" max="10507" width="1.33203125" style="2" customWidth="1"/>
    <col min="10508" max="10508" width="5.5546875" style="2" customWidth="1"/>
    <col min="10509" max="10510" width="10.5546875" style="2" customWidth="1"/>
    <col min="10511" max="10511" width="10.44140625" style="2" bestFit="1" customWidth="1"/>
    <col min="10512" max="10752" width="9.109375" style="2"/>
    <col min="10753" max="10753" width="4.44140625" style="2" customWidth="1"/>
    <col min="10754" max="10754" width="6.33203125" style="2" customWidth="1"/>
    <col min="10755" max="10755" width="4" style="2" customWidth="1"/>
    <col min="10756" max="10756" width="4.6640625" style="2" customWidth="1"/>
    <col min="10757" max="10757" width="26.44140625" style="2" customWidth="1"/>
    <col min="10758" max="10758" width="0.88671875" style="2" customWidth="1"/>
    <col min="10759" max="10759" width="3" style="2" customWidth="1"/>
    <col min="10760" max="10760" width="0.6640625" style="2" customWidth="1"/>
    <col min="10761" max="10761" width="26.44140625" style="2" bestFit="1" customWidth="1"/>
    <col min="10762" max="10762" width="5.88671875" style="2" customWidth="1"/>
    <col min="10763" max="10763" width="1.33203125" style="2" customWidth="1"/>
    <col min="10764" max="10764" width="5.5546875" style="2" customWidth="1"/>
    <col min="10765" max="10766" width="10.5546875" style="2" customWidth="1"/>
    <col min="10767" max="10767" width="10.44140625" style="2" bestFit="1" customWidth="1"/>
    <col min="10768" max="11008" width="9.109375" style="2"/>
    <col min="11009" max="11009" width="4.44140625" style="2" customWidth="1"/>
    <col min="11010" max="11010" width="6.33203125" style="2" customWidth="1"/>
    <col min="11011" max="11011" width="4" style="2" customWidth="1"/>
    <col min="11012" max="11012" width="4.6640625" style="2" customWidth="1"/>
    <col min="11013" max="11013" width="26.44140625" style="2" customWidth="1"/>
    <col min="11014" max="11014" width="0.88671875" style="2" customWidth="1"/>
    <col min="11015" max="11015" width="3" style="2" customWidth="1"/>
    <col min="11016" max="11016" width="0.6640625" style="2" customWidth="1"/>
    <col min="11017" max="11017" width="26.44140625" style="2" bestFit="1" customWidth="1"/>
    <col min="11018" max="11018" width="5.88671875" style="2" customWidth="1"/>
    <col min="11019" max="11019" width="1.33203125" style="2" customWidth="1"/>
    <col min="11020" max="11020" width="5.5546875" style="2" customWidth="1"/>
    <col min="11021" max="11022" width="10.5546875" style="2" customWidth="1"/>
    <col min="11023" max="11023" width="10.44140625" style="2" bestFit="1" customWidth="1"/>
    <col min="11024" max="11264" width="9.109375" style="2"/>
    <col min="11265" max="11265" width="4.44140625" style="2" customWidth="1"/>
    <col min="11266" max="11266" width="6.33203125" style="2" customWidth="1"/>
    <col min="11267" max="11267" width="4" style="2" customWidth="1"/>
    <col min="11268" max="11268" width="4.6640625" style="2" customWidth="1"/>
    <col min="11269" max="11269" width="26.44140625" style="2" customWidth="1"/>
    <col min="11270" max="11270" width="0.88671875" style="2" customWidth="1"/>
    <col min="11271" max="11271" width="3" style="2" customWidth="1"/>
    <col min="11272" max="11272" width="0.6640625" style="2" customWidth="1"/>
    <col min="11273" max="11273" width="26.44140625" style="2" bestFit="1" customWidth="1"/>
    <col min="11274" max="11274" width="5.88671875" style="2" customWidth="1"/>
    <col min="11275" max="11275" width="1.33203125" style="2" customWidth="1"/>
    <col min="11276" max="11276" width="5.5546875" style="2" customWidth="1"/>
    <col min="11277" max="11278" width="10.5546875" style="2" customWidth="1"/>
    <col min="11279" max="11279" width="10.44140625" style="2" bestFit="1" customWidth="1"/>
    <col min="11280" max="11520" width="9.109375" style="2"/>
    <col min="11521" max="11521" width="4.44140625" style="2" customWidth="1"/>
    <col min="11522" max="11522" width="6.33203125" style="2" customWidth="1"/>
    <col min="11523" max="11523" width="4" style="2" customWidth="1"/>
    <col min="11524" max="11524" width="4.6640625" style="2" customWidth="1"/>
    <col min="11525" max="11525" width="26.44140625" style="2" customWidth="1"/>
    <col min="11526" max="11526" width="0.88671875" style="2" customWidth="1"/>
    <col min="11527" max="11527" width="3" style="2" customWidth="1"/>
    <col min="11528" max="11528" width="0.6640625" style="2" customWidth="1"/>
    <col min="11529" max="11529" width="26.44140625" style="2" bestFit="1" customWidth="1"/>
    <col min="11530" max="11530" width="5.88671875" style="2" customWidth="1"/>
    <col min="11531" max="11531" width="1.33203125" style="2" customWidth="1"/>
    <col min="11532" max="11532" width="5.5546875" style="2" customWidth="1"/>
    <col min="11533" max="11534" width="10.5546875" style="2" customWidth="1"/>
    <col min="11535" max="11535" width="10.44140625" style="2" bestFit="1" customWidth="1"/>
    <col min="11536" max="11776" width="9.109375" style="2"/>
    <col min="11777" max="11777" width="4.44140625" style="2" customWidth="1"/>
    <col min="11778" max="11778" width="6.33203125" style="2" customWidth="1"/>
    <col min="11779" max="11779" width="4" style="2" customWidth="1"/>
    <col min="11780" max="11780" width="4.6640625" style="2" customWidth="1"/>
    <col min="11781" max="11781" width="26.44140625" style="2" customWidth="1"/>
    <col min="11782" max="11782" width="0.88671875" style="2" customWidth="1"/>
    <col min="11783" max="11783" width="3" style="2" customWidth="1"/>
    <col min="11784" max="11784" width="0.6640625" style="2" customWidth="1"/>
    <col min="11785" max="11785" width="26.44140625" style="2" bestFit="1" customWidth="1"/>
    <col min="11786" max="11786" width="5.88671875" style="2" customWidth="1"/>
    <col min="11787" max="11787" width="1.33203125" style="2" customWidth="1"/>
    <col min="11788" max="11788" width="5.5546875" style="2" customWidth="1"/>
    <col min="11789" max="11790" width="10.5546875" style="2" customWidth="1"/>
    <col min="11791" max="11791" width="10.44140625" style="2" bestFit="1" customWidth="1"/>
    <col min="11792" max="12032" width="9.109375" style="2"/>
    <col min="12033" max="12033" width="4.44140625" style="2" customWidth="1"/>
    <col min="12034" max="12034" width="6.33203125" style="2" customWidth="1"/>
    <col min="12035" max="12035" width="4" style="2" customWidth="1"/>
    <col min="12036" max="12036" width="4.6640625" style="2" customWidth="1"/>
    <col min="12037" max="12037" width="26.44140625" style="2" customWidth="1"/>
    <col min="12038" max="12038" width="0.88671875" style="2" customWidth="1"/>
    <col min="12039" max="12039" width="3" style="2" customWidth="1"/>
    <col min="12040" max="12040" width="0.6640625" style="2" customWidth="1"/>
    <col min="12041" max="12041" width="26.44140625" style="2" bestFit="1" customWidth="1"/>
    <col min="12042" max="12042" width="5.88671875" style="2" customWidth="1"/>
    <col min="12043" max="12043" width="1.33203125" style="2" customWidth="1"/>
    <col min="12044" max="12044" width="5.5546875" style="2" customWidth="1"/>
    <col min="12045" max="12046" width="10.5546875" style="2" customWidth="1"/>
    <col min="12047" max="12047" width="10.44140625" style="2" bestFit="1" customWidth="1"/>
    <col min="12048" max="12288" width="9.109375" style="2"/>
    <col min="12289" max="12289" width="4.44140625" style="2" customWidth="1"/>
    <col min="12290" max="12290" width="6.33203125" style="2" customWidth="1"/>
    <col min="12291" max="12291" width="4" style="2" customWidth="1"/>
    <col min="12292" max="12292" width="4.6640625" style="2" customWidth="1"/>
    <col min="12293" max="12293" width="26.44140625" style="2" customWidth="1"/>
    <col min="12294" max="12294" width="0.88671875" style="2" customWidth="1"/>
    <col min="12295" max="12295" width="3" style="2" customWidth="1"/>
    <col min="12296" max="12296" width="0.6640625" style="2" customWidth="1"/>
    <col min="12297" max="12297" width="26.44140625" style="2" bestFit="1" customWidth="1"/>
    <col min="12298" max="12298" width="5.88671875" style="2" customWidth="1"/>
    <col min="12299" max="12299" width="1.33203125" style="2" customWidth="1"/>
    <col min="12300" max="12300" width="5.5546875" style="2" customWidth="1"/>
    <col min="12301" max="12302" width="10.5546875" style="2" customWidth="1"/>
    <col min="12303" max="12303" width="10.44140625" style="2" bestFit="1" customWidth="1"/>
    <col min="12304" max="12544" width="9.109375" style="2"/>
    <col min="12545" max="12545" width="4.44140625" style="2" customWidth="1"/>
    <col min="12546" max="12546" width="6.33203125" style="2" customWidth="1"/>
    <col min="12547" max="12547" width="4" style="2" customWidth="1"/>
    <col min="12548" max="12548" width="4.6640625" style="2" customWidth="1"/>
    <col min="12549" max="12549" width="26.44140625" style="2" customWidth="1"/>
    <col min="12550" max="12550" width="0.88671875" style="2" customWidth="1"/>
    <col min="12551" max="12551" width="3" style="2" customWidth="1"/>
    <col min="12552" max="12552" width="0.6640625" style="2" customWidth="1"/>
    <col min="12553" max="12553" width="26.44140625" style="2" bestFit="1" customWidth="1"/>
    <col min="12554" max="12554" width="5.88671875" style="2" customWidth="1"/>
    <col min="12555" max="12555" width="1.33203125" style="2" customWidth="1"/>
    <col min="12556" max="12556" width="5.5546875" style="2" customWidth="1"/>
    <col min="12557" max="12558" width="10.5546875" style="2" customWidth="1"/>
    <col min="12559" max="12559" width="10.44140625" style="2" bestFit="1" customWidth="1"/>
    <col min="12560" max="12800" width="9.109375" style="2"/>
    <col min="12801" max="12801" width="4.44140625" style="2" customWidth="1"/>
    <col min="12802" max="12802" width="6.33203125" style="2" customWidth="1"/>
    <col min="12803" max="12803" width="4" style="2" customWidth="1"/>
    <col min="12804" max="12804" width="4.6640625" style="2" customWidth="1"/>
    <col min="12805" max="12805" width="26.44140625" style="2" customWidth="1"/>
    <col min="12806" max="12806" width="0.88671875" style="2" customWidth="1"/>
    <col min="12807" max="12807" width="3" style="2" customWidth="1"/>
    <col min="12808" max="12808" width="0.6640625" style="2" customWidth="1"/>
    <col min="12809" max="12809" width="26.44140625" style="2" bestFit="1" customWidth="1"/>
    <col min="12810" max="12810" width="5.88671875" style="2" customWidth="1"/>
    <col min="12811" max="12811" width="1.33203125" style="2" customWidth="1"/>
    <col min="12812" max="12812" width="5.5546875" style="2" customWidth="1"/>
    <col min="12813" max="12814" width="10.5546875" style="2" customWidth="1"/>
    <col min="12815" max="12815" width="10.44140625" style="2" bestFit="1" customWidth="1"/>
    <col min="12816" max="13056" width="9.109375" style="2"/>
    <col min="13057" max="13057" width="4.44140625" style="2" customWidth="1"/>
    <col min="13058" max="13058" width="6.33203125" style="2" customWidth="1"/>
    <col min="13059" max="13059" width="4" style="2" customWidth="1"/>
    <col min="13060" max="13060" width="4.6640625" style="2" customWidth="1"/>
    <col min="13061" max="13061" width="26.44140625" style="2" customWidth="1"/>
    <col min="13062" max="13062" width="0.88671875" style="2" customWidth="1"/>
    <col min="13063" max="13063" width="3" style="2" customWidth="1"/>
    <col min="13064" max="13064" width="0.6640625" style="2" customWidth="1"/>
    <col min="13065" max="13065" width="26.44140625" style="2" bestFit="1" customWidth="1"/>
    <col min="13066" max="13066" width="5.88671875" style="2" customWidth="1"/>
    <col min="13067" max="13067" width="1.33203125" style="2" customWidth="1"/>
    <col min="13068" max="13068" width="5.5546875" style="2" customWidth="1"/>
    <col min="13069" max="13070" width="10.5546875" style="2" customWidth="1"/>
    <col min="13071" max="13071" width="10.44140625" style="2" bestFit="1" customWidth="1"/>
    <col min="13072" max="13312" width="9.109375" style="2"/>
    <col min="13313" max="13313" width="4.44140625" style="2" customWidth="1"/>
    <col min="13314" max="13314" width="6.33203125" style="2" customWidth="1"/>
    <col min="13315" max="13315" width="4" style="2" customWidth="1"/>
    <col min="13316" max="13316" width="4.6640625" style="2" customWidth="1"/>
    <col min="13317" max="13317" width="26.44140625" style="2" customWidth="1"/>
    <col min="13318" max="13318" width="0.88671875" style="2" customWidth="1"/>
    <col min="13319" max="13319" width="3" style="2" customWidth="1"/>
    <col min="13320" max="13320" width="0.6640625" style="2" customWidth="1"/>
    <col min="13321" max="13321" width="26.44140625" style="2" bestFit="1" customWidth="1"/>
    <col min="13322" max="13322" width="5.88671875" style="2" customWidth="1"/>
    <col min="13323" max="13323" width="1.33203125" style="2" customWidth="1"/>
    <col min="13324" max="13324" width="5.5546875" style="2" customWidth="1"/>
    <col min="13325" max="13326" width="10.5546875" style="2" customWidth="1"/>
    <col min="13327" max="13327" width="10.44140625" style="2" bestFit="1" customWidth="1"/>
    <col min="13328" max="13568" width="9.109375" style="2"/>
    <col min="13569" max="13569" width="4.44140625" style="2" customWidth="1"/>
    <col min="13570" max="13570" width="6.33203125" style="2" customWidth="1"/>
    <col min="13571" max="13571" width="4" style="2" customWidth="1"/>
    <col min="13572" max="13572" width="4.6640625" style="2" customWidth="1"/>
    <col min="13573" max="13573" width="26.44140625" style="2" customWidth="1"/>
    <col min="13574" max="13574" width="0.88671875" style="2" customWidth="1"/>
    <col min="13575" max="13575" width="3" style="2" customWidth="1"/>
    <col min="13576" max="13576" width="0.6640625" style="2" customWidth="1"/>
    <col min="13577" max="13577" width="26.44140625" style="2" bestFit="1" customWidth="1"/>
    <col min="13578" max="13578" width="5.88671875" style="2" customWidth="1"/>
    <col min="13579" max="13579" width="1.33203125" style="2" customWidth="1"/>
    <col min="13580" max="13580" width="5.5546875" style="2" customWidth="1"/>
    <col min="13581" max="13582" width="10.5546875" style="2" customWidth="1"/>
    <col min="13583" max="13583" width="10.44140625" style="2" bestFit="1" customWidth="1"/>
    <col min="13584" max="13824" width="9.109375" style="2"/>
    <col min="13825" max="13825" width="4.44140625" style="2" customWidth="1"/>
    <col min="13826" max="13826" width="6.33203125" style="2" customWidth="1"/>
    <col min="13827" max="13827" width="4" style="2" customWidth="1"/>
    <col min="13828" max="13828" width="4.6640625" style="2" customWidth="1"/>
    <col min="13829" max="13829" width="26.44140625" style="2" customWidth="1"/>
    <col min="13830" max="13830" width="0.88671875" style="2" customWidth="1"/>
    <col min="13831" max="13831" width="3" style="2" customWidth="1"/>
    <col min="13832" max="13832" width="0.6640625" style="2" customWidth="1"/>
    <col min="13833" max="13833" width="26.44140625" style="2" bestFit="1" customWidth="1"/>
    <col min="13834" max="13834" width="5.88671875" style="2" customWidth="1"/>
    <col min="13835" max="13835" width="1.33203125" style="2" customWidth="1"/>
    <col min="13836" max="13836" width="5.5546875" style="2" customWidth="1"/>
    <col min="13837" max="13838" width="10.5546875" style="2" customWidth="1"/>
    <col min="13839" max="13839" width="10.44140625" style="2" bestFit="1" customWidth="1"/>
    <col min="13840" max="14080" width="9.109375" style="2"/>
    <col min="14081" max="14081" width="4.44140625" style="2" customWidth="1"/>
    <col min="14082" max="14082" width="6.33203125" style="2" customWidth="1"/>
    <col min="14083" max="14083" width="4" style="2" customWidth="1"/>
    <col min="14084" max="14084" width="4.6640625" style="2" customWidth="1"/>
    <col min="14085" max="14085" width="26.44140625" style="2" customWidth="1"/>
    <col min="14086" max="14086" width="0.88671875" style="2" customWidth="1"/>
    <col min="14087" max="14087" width="3" style="2" customWidth="1"/>
    <col min="14088" max="14088" width="0.6640625" style="2" customWidth="1"/>
    <col min="14089" max="14089" width="26.44140625" style="2" bestFit="1" customWidth="1"/>
    <col min="14090" max="14090" width="5.88671875" style="2" customWidth="1"/>
    <col min="14091" max="14091" width="1.33203125" style="2" customWidth="1"/>
    <col min="14092" max="14092" width="5.5546875" style="2" customWidth="1"/>
    <col min="14093" max="14094" width="10.5546875" style="2" customWidth="1"/>
    <col min="14095" max="14095" width="10.44140625" style="2" bestFit="1" customWidth="1"/>
    <col min="14096" max="14336" width="9.109375" style="2"/>
    <col min="14337" max="14337" width="4.44140625" style="2" customWidth="1"/>
    <col min="14338" max="14338" width="6.33203125" style="2" customWidth="1"/>
    <col min="14339" max="14339" width="4" style="2" customWidth="1"/>
    <col min="14340" max="14340" width="4.6640625" style="2" customWidth="1"/>
    <col min="14341" max="14341" width="26.44140625" style="2" customWidth="1"/>
    <col min="14342" max="14342" width="0.88671875" style="2" customWidth="1"/>
    <col min="14343" max="14343" width="3" style="2" customWidth="1"/>
    <col min="14344" max="14344" width="0.6640625" style="2" customWidth="1"/>
    <col min="14345" max="14345" width="26.44140625" style="2" bestFit="1" customWidth="1"/>
    <col min="14346" max="14346" width="5.88671875" style="2" customWidth="1"/>
    <col min="14347" max="14347" width="1.33203125" style="2" customWidth="1"/>
    <col min="14348" max="14348" width="5.5546875" style="2" customWidth="1"/>
    <col min="14349" max="14350" width="10.5546875" style="2" customWidth="1"/>
    <col min="14351" max="14351" width="10.44140625" style="2" bestFit="1" customWidth="1"/>
    <col min="14352" max="14592" width="9.109375" style="2"/>
    <col min="14593" max="14593" width="4.44140625" style="2" customWidth="1"/>
    <col min="14594" max="14594" width="6.33203125" style="2" customWidth="1"/>
    <col min="14595" max="14595" width="4" style="2" customWidth="1"/>
    <col min="14596" max="14596" width="4.6640625" style="2" customWidth="1"/>
    <col min="14597" max="14597" width="26.44140625" style="2" customWidth="1"/>
    <col min="14598" max="14598" width="0.88671875" style="2" customWidth="1"/>
    <col min="14599" max="14599" width="3" style="2" customWidth="1"/>
    <col min="14600" max="14600" width="0.6640625" style="2" customWidth="1"/>
    <col min="14601" max="14601" width="26.44140625" style="2" bestFit="1" customWidth="1"/>
    <col min="14602" max="14602" width="5.88671875" style="2" customWidth="1"/>
    <col min="14603" max="14603" width="1.33203125" style="2" customWidth="1"/>
    <col min="14604" max="14604" width="5.5546875" style="2" customWidth="1"/>
    <col min="14605" max="14606" width="10.5546875" style="2" customWidth="1"/>
    <col min="14607" max="14607" width="10.44140625" style="2" bestFit="1" customWidth="1"/>
    <col min="14608" max="14848" width="9.109375" style="2"/>
    <col min="14849" max="14849" width="4.44140625" style="2" customWidth="1"/>
    <col min="14850" max="14850" width="6.33203125" style="2" customWidth="1"/>
    <col min="14851" max="14851" width="4" style="2" customWidth="1"/>
    <col min="14852" max="14852" width="4.6640625" style="2" customWidth="1"/>
    <col min="14853" max="14853" width="26.44140625" style="2" customWidth="1"/>
    <col min="14854" max="14854" width="0.88671875" style="2" customWidth="1"/>
    <col min="14855" max="14855" width="3" style="2" customWidth="1"/>
    <col min="14856" max="14856" width="0.6640625" style="2" customWidth="1"/>
    <col min="14857" max="14857" width="26.44140625" style="2" bestFit="1" customWidth="1"/>
    <col min="14858" max="14858" width="5.88671875" style="2" customWidth="1"/>
    <col min="14859" max="14859" width="1.33203125" style="2" customWidth="1"/>
    <col min="14860" max="14860" width="5.5546875" style="2" customWidth="1"/>
    <col min="14861" max="14862" width="10.5546875" style="2" customWidth="1"/>
    <col min="14863" max="14863" width="10.44140625" style="2" bestFit="1" customWidth="1"/>
    <col min="14864" max="15104" width="9.109375" style="2"/>
    <col min="15105" max="15105" width="4.44140625" style="2" customWidth="1"/>
    <col min="15106" max="15106" width="6.33203125" style="2" customWidth="1"/>
    <col min="15107" max="15107" width="4" style="2" customWidth="1"/>
    <col min="15108" max="15108" width="4.6640625" style="2" customWidth="1"/>
    <col min="15109" max="15109" width="26.44140625" style="2" customWidth="1"/>
    <col min="15110" max="15110" width="0.88671875" style="2" customWidth="1"/>
    <col min="15111" max="15111" width="3" style="2" customWidth="1"/>
    <col min="15112" max="15112" width="0.6640625" style="2" customWidth="1"/>
    <col min="15113" max="15113" width="26.44140625" style="2" bestFit="1" customWidth="1"/>
    <col min="15114" max="15114" width="5.88671875" style="2" customWidth="1"/>
    <col min="15115" max="15115" width="1.33203125" style="2" customWidth="1"/>
    <col min="15116" max="15116" width="5.5546875" style="2" customWidth="1"/>
    <col min="15117" max="15118" width="10.5546875" style="2" customWidth="1"/>
    <col min="15119" max="15119" width="10.44140625" style="2" bestFit="1" customWidth="1"/>
    <col min="15120" max="15360" width="9.109375" style="2"/>
    <col min="15361" max="15361" width="4.44140625" style="2" customWidth="1"/>
    <col min="15362" max="15362" width="6.33203125" style="2" customWidth="1"/>
    <col min="15363" max="15363" width="4" style="2" customWidth="1"/>
    <col min="15364" max="15364" width="4.6640625" style="2" customWidth="1"/>
    <col min="15365" max="15365" width="26.44140625" style="2" customWidth="1"/>
    <col min="15366" max="15366" width="0.88671875" style="2" customWidth="1"/>
    <col min="15367" max="15367" width="3" style="2" customWidth="1"/>
    <col min="15368" max="15368" width="0.6640625" style="2" customWidth="1"/>
    <col min="15369" max="15369" width="26.44140625" style="2" bestFit="1" customWidth="1"/>
    <col min="15370" max="15370" width="5.88671875" style="2" customWidth="1"/>
    <col min="15371" max="15371" width="1.33203125" style="2" customWidth="1"/>
    <col min="15372" max="15372" width="5.5546875" style="2" customWidth="1"/>
    <col min="15373" max="15374" width="10.5546875" style="2" customWidth="1"/>
    <col min="15375" max="15375" width="10.44140625" style="2" bestFit="1" customWidth="1"/>
    <col min="15376" max="15616" width="9.109375" style="2"/>
    <col min="15617" max="15617" width="4.44140625" style="2" customWidth="1"/>
    <col min="15618" max="15618" width="6.33203125" style="2" customWidth="1"/>
    <col min="15619" max="15619" width="4" style="2" customWidth="1"/>
    <col min="15620" max="15620" width="4.6640625" style="2" customWidth="1"/>
    <col min="15621" max="15621" width="26.44140625" style="2" customWidth="1"/>
    <col min="15622" max="15622" width="0.88671875" style="2" customWidth="1"/>
    <col min="15623" max="15623" width="3" style="2" customWidth="1"/>
    <col min="15624" max="15624" width="0.6640625" style="2" customWidth="1"/>
    <col min="15625" max="15625" width="26.44140625" style="2" bestFit="1" customWidth="1"/>
    <col min="15626" max="15626" width="5.88671875" style="2" customWidth="1"/>
    <col min="15627" max="15627" width="1.33203125" style="2" customWidth="1"/>
    <col min="15628" max="15628" width="5.5546875" style="2" customWidth="1"/>
    <col min="15629" max="15630" width="10.5546875" style="2" customWidth="1"/>
    <col min="15631" max="15631" width="10.44140625" style="2" bestFit="1" customWidth="1"/>
    <col min="15632" max="15872" width="9.109375" style="2"/>
    <col min="15873" max="15873" width="4.44140625" style="2" customWidth="1"/>
    <col min="15874" max="15874" width="6.33203125" style="2" customWidth="1"/>
    <col min="15875" max="15875" width="4" style="2" customWidth="1"/>
    <col min="15876" max="15876" width="4.6640625" style="2" customWidth="1"/>
    <col min="15877" max="15877" width="26.44140625" style="2" customWidth="1"/>
    <col min="15878" max="15878" width="0.88671875" style="2" customWidth="1"/>
    <col min="15879" max="15879" width="3" style="2" customWidth="1"/>
    <col min="15880" max="15880" width="0.6640625" style="2" customWidth="1"/>
    <col min="15881" max="15881" width="26.44140625" style="2" bestFit="1" customWidth="1"/>
    <col min="15882" max="15882" width="5.88671875" style="2" customWidth="1"/>
    <col min="15883" max="15883" width="1.33203125" style="2" customWidth="1"/>
    <col min="15884" max="15884" width="5.5546875" style="2" customWidth="1"/>
    <col min="15885" max="15886" width="10.5546875" style="2" customWidth="1"/>
    <col min="15887" max="15887" width="10.44140625" style="2" bestFit="1" customWidth="1"/>
    <col min="15888" max="16128" width="9.109375" style="2"/>
    <col min="16129" max="16129" width="4.44140625" style="2" customWidth="1"/>
    <col min="16130" max="16130" width="6.33203125" style="2" customWidth="1"/>
    <col min="16131" max="16131" width="4" style="2" customWidth="1"/>
    <col min="16132" max="16132" width="4.6640625" style="2" customWidth="1"/>
    <col min="16133" max="16133" width="26.44140625" style="2" customWidth="1"/>
    <col min="16134" max="16134" width="0.88671875" style="2" customWidth="1"/>
    <col min="16135" max="16135" width="3" style="2" customWidth="1"/>
    <col min="16136" max="16136" width="0.6640625" style="2" customWidth="1"/>
    <col min="16137" max="16137" width="26.44140625" style="2" bestFit="1" customWidth="1"/>
    <col min="16138" max="16138" width="5.88671875" style="2" customWidth="1"/>
    <col min="16139" max="16139" width="1.33203125" style="2" customWidth="1"/>
    <col min="16140" max="16140" width="5.5546875" style="2" customWidth="1"/>
    <col min="16141" max="16142" width="10.5546875" style="2" customWidth="1"/>
    <col min="16143" max="16143" width="10.44140625" style="2" bestFit="1" customWidth="1"/>
    <col min="16144" max="16384" width="9.109375" style="2"/>
  </cols>
  <sheetData>
    <row r="1" spans="1:27" ht="28.2" x14ac:dyDescent="0.5">
      <c r="C1" s="331" t="s">
        <v>167</v>
      </c>
      <c r="D1" s="332"/>
      <c r="E1" s="332"/>
      <c r="F1" s="332"/>
      <c r="G1" s="332"/>
      <c r="H1" s="332"/>
      <c r="I1" s="332"/>
      <c r="J1" s="332"/>
      <c r="K1" s="4"/>
      <c r="L1" s="5"/>
      <c r="M1" s="5"/>
      <c r="N1" s="5"/>
      <c r="O1" s="6"/>
      <c r="R1" s="7">
        <v>1.3888888888888888E-2</v>
      </c>
    </row>
    <row r="2" spans="1:27" ht="28.8" thickBot="1" x14ac:dyDescent="0.55000000000000004">
      <c r="C2" s="8"/>
      <c r="D2" s="9"/>
      <c r="E2" s="9" t="s">
        <v>101</v>
      </c>
      <c r="F2" s="9"/>
      <c r="G2" s="9"/>
      <c r="H2" s="9"/>
      <c r="I2" s="9">
        <v>45732</v>
      </c>
      <c r="J2" s="9"/>
      <c r="K2" s="336" t="s">
        <v>168</v>
      </c>
      <c r="L2" s="337"/>
      <c r="M2" s="337"/>
      <c r="N2" s="337"/>
      <c r="O2" s="338"/>
    </row>
    <row r="3" spans="1:27" ht="18" x14ac:dyDescent="0.3">
      <c r="G3" s="10" t="s">
        <v>28</v>
      </c>
      <c r="J3" s="11"/>
      <c r="K3" s="10" t="s">
        <v>29</v>
      </c>
      <c r="L3" s="11"/>
      <c r="M3" s="333" t="s">
        <v>30</v>
      </c>
      <c r="N3" s="333"/>
      <c r="P3" s="12"/>
      <c r="R3" s="334" t="str">
        <f>CONCATENATE("Stand"&amp;" "&amp;K2)</f>
        <v>Stand Den Bosch</v>
      </c>
      <c r="S3" s="335"/>
      <c r="T3" s="335"/>
      <c r="U3" s="335"/>
      <c r="V3" s="335"/>
    </row>
    <row r="4" spans="1:27" ht="17.399999999999999" x14ac:dyDescent="0.3">
      <c r="C4" s="13" t="s">
        <v>31</v>
      </c>
      <c r="D4" s="14" t="s">
        <v>32</v>
      </c>
      <c r="G4" s="10"/>
      <c r="R4" s="15" t="s">
        <v>126</v>
      </c>
      <c r="S4" s="15" t="s">
        <v>127</v>
      </c>
      <c r="T4" s="15" t="s">
        <v>128</v>
      </c>
      <c r="U4" s="15" t="s">
        <v>129</v>
      </c>
      <c r="V4" s="15" t="s">
        <v>130</v>
      </c>
      <c r="W4" s="15" t="s">
        <v>131</v>
      </c>
      <c r="X4" s="15" t="s">
        <v>132</v>
      </c>
      <c r="Y4" s="15" t="s">
        <v>133</v>
      </c>
      <c r="Z4" s="15" t="s">
        <v>134</v>
      </c>
      <c r="AA4" s="15" t="s">
        <v>135</v>
      </c>
    </row>
    <row r="5" spans="1:27" ht="5.25" customHeight="1" x14ac:dyDescent="0.3">
      <c r="C5" s="16"/>
      <c r="D5" s="16"/>
      <c r="G5" s="10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17.399999999999999" x14ac:dyDescent="0.3">
      <c r="A6" s="18">
        <v>1</v>
      </c>
      <c r="B6" s="19">
        <v>0.52083333333333337</v>
      </c>
      <c r="C6" s="20">
        <v>1</v>
      </c>
      <c r="D6" s="20" t="s">
        <v>33</v>
      </c>
      <c r="E6" s="18" t="s">
        <v>178</v>
      </c>
      <c r="F6" s="18"/>
      <c r="G6" s="21" t="s">
        <v>16</v>
      </c>
      <c r="H6" s="18"/>
      <c r="I6" s="18" t="s">
        <v>161</v>
      </c>
      <c r="J6" s="22">
        <f>'1'!AO52</f>
        <v>8</v>
      </c>
      <c r="K6" s="21" t="s">
        <v>16</v>
      </c>
      <c r="L6" s="22">
        <f>'1'!$AR$52</f>
        <v>2</v>
      </c>
      <c r="M6" s="252" t="s">
        <v>197</v>
      </c>
      <c r="N6" s="253" t="s">
        <v>198</v>
      </c>
      <c r="O6" s="23" t="s">
        <v>98</v>
      </c>
      <c r="R6" s="24">
        <v>1</v>
      </c>
      <c r="S6" s="24" t="str">
        <f>berekening1!Q12</f>
        <v>SVG Den Bosch</v>
      </c>
      <c r="T6" s="25">
        <f>berekening1!R12</f>
        <v>5</v>
      </c>
      <c r="U6" s="25">
        <f>berekening1!S12</f>
        <v>5</v>
      </c>
      <c r="V6" s="25">
        <f>berekening1!T12</f>
        <v>0</v>
      </c>
      <c r="W6" s="25">
        <f>berekening1!U12</f>
        <v>0</v>
      </c>
      <c r="X6" s="26">
        <f>berekening1!V12</f>
        <v>15</v>
      </c>
      <c r="Y6" s="25">
        <f>berekening1!W12</f>
        <v>24</v>
      </c>
      <c r="Z6" s="25">
        <f>berekening1!X12</f>
        <v>10</v>
      </c>
      <c r="AA6" s="27">
        <f>berekening1!Y12</f>
        <v>14</v>
      </c>
    </row>
    <row r="7" spans="1:27" ht="17.399999999999999" x14ac:dyDescent="0.3">
      <c r="A7" s="28">
        <v>2</v>
      </c>
      <c r="B7" s="29">
        <v>0.53472222222222221</v>
      </c>
      <c r="C7" s="30">
        <v>2</v>
      </c>
      <c r="D7" s="20" t="s">
        <v>33</v>
      </c>
      <c r="E7" s="28" t="s">
        <v>26</v>
      </c>
      <c r="F7" s="28"/>
      <c r="G7" s="31" t="s">
        <v>16</v>
      </c>
      <c r="H7" s="28"/>
      <c r="I7" s="28" t="s">
        <v>163</v>
      </c>
      <c r="J7" s="22">
        <f>'2'!AO52</f>
        <v>4</v>
      </c>
      <c r="K7" s="31" t="s">
        <v>16</v>
      </c>
      <c r="L7" s="22">
        <f>'2'!$AR$52</f>
        <v>2</v>
      </c>
      <c r="M7" s="254" t="s">
        <v>198</v>
      </c>
      <c r="N7" s="255" t="s">
        <v>199</v>
      </c>
      <c r="O7" s="23" t="s">
        <v>98</v>
      </c>
      <c r="R7" s="32">
        <v>2</v>
      </c>
      <c r="S7" s="32" t="str">
        <f>berekening1!Q13</f>
        <v>Gesposs Blauw</v>
      </c>
      <c r="T7" s="33">
        <f>berekening1!R13</f>
        <v>5</v>
      </c>
      <c r="U7" s="33">
        <f>berekening1!S13</f>
        <v>4</v>
      </c>
      <c r="V7" s="33">
        <f>berekening1!T13</f>
        <v>0</v>
      </c>
      <c r="W7" s="33">
        <f>berekening1!U13</f>
        <v>1</v>
      </c>
      <c r="X7" s="34">
        <f>berekening1!V13</f>
        <v>12</v>
      </c>
      <c r="Y7" s="33">
        <f>berekening1!W13</f>
        <v>31</v>
      </c>
      <c r="Z7" s="33">
        <f>berekening1!X13</f>
        <v>15</v>
      </c>
      <c r="AA7" s="35">
        <f>berekening1!Y13</f>
        <v>16</v>
      </c>
    </row>
    <row r="8" spans="1:27" ht="17.399999999999999" x14ac:dyDescent="0.3">
      <c r="A8" s="28">
        <v>3</v>
      </c>
      <c r="B8" s="29">
        <v>0.53472222222222221</v>
      </c>
      <c r="C8" s="30">
        <v>3</v>
      </c>
      <c r="D8" s="20" t="s">
        <v>18</v>
      </c>
      <c r="E8" s="28" t="s">
        <v>162</v>
      </c>
      <c r="F8" s="28"/>
      <c r="G8" s="31" t="s">
        <v>16</v>
      </c>
      <c r="H8" s="28"/>
      <c r="I8" s="28" t="s">
        <v>179</v>
      </c>
      <c r="J8" s="22">
        <f>'3'!AO52</f>
        <v>1</v>
      </c>
      <c r="K8" s="31" t="s">
        <v>16</v>
      </c>
      <c r="L8" s="22">
        <f>'3'!$AR$52</f>
        <v>1</v>
      </c>
      <c r="M8" s="254" t="s">
        <v>200</v>
      </c>
      <c r="N8" s="255" t="s">
        <v>201</v>
      </c>
      <c r="O8" s="23" t="s">
        <v>98</v>
      </c>
      <c r="R8" s="32">
        <v>3</v>
      </c>
      <c r="S8" s="32" t="str">
        <f>berekening1!Q14</f>
        <v>De Tubanten 1</v>
      </c>
      <c r="T8" s="33">
        <f>berekening1!R14</f>
        <v>4</v>
      </c>
      <c r="U8" s="33">
        <f>berekening1!S14</f>
        <v>3</v>
      </c>
      <c r="V8" s="33">
        <f>berekening1!T14</f>
        <v>0</v>
      </c>
      <c r="W8" s="33">
        <f>berekening1!U14</f>
        <v>1</v>
      </c>
      <c r="X8" s="34">
        <f>berekening1!V14</f>
        <v>9</v>
      </c>
      <c r="Y8" s="33">
        <f>berekening1!W14</f>
        <v>24</v>
      </c>
      <c r="Z8" s="33">
        <f>berekening1!X14</f>
        <v>16</v>
      </c>
      <c r="AA8" s="35">
        <f>berekening1!Y14</f>
        <v>8</v>
      </c>
    </row>
    <row r="9" spans="1:27" ht="17.399999999999999" x14ac:dyDescent="0.3">
      <c r="A9" s="28">
        <v>4</v>
      </c>
      <c r="B9" s="29">
        <v>0.54861111111111116</v>
      </c>
      <c r="C9" s="30">
        <v>4</v>
      </c>
      <c r="D9" s="20" t="s">
        <v>33</v>
      </c>
      <c r="E9" s="28" t="s">
        <v>165</v>
      </c>
      <c r="F9" s="28"/>
      <c r="G9" s="31" t="s">
        <v>16</v>
      </c>
      <c r="H9" s="28"/>
      <c r="I9" s="28" t="s">
        <v>166</v>
      </c>
      <c r="J9" s="22">
        <f>'4'!AO52</f>
        <v>5</v>
      </c>
      <c r="K9" s="31" t="s">
        <v>16</v>
      </c>
      <c r="L9" s="22">
        <f>'4'!$AR$52</f>
        <v>2</v>
      </c>
      <c r="M9" s="254" t="s">
        <v>202</v>
      </c>
      <c r="N9" s="255" t="s">
        <v>199</v>
      </c>
      <c r="O9" s="23" t="s">
        <v>98</v>
      </c>
      <c r="R9" s="32">
        <v>4</v>
      </c>
      <c r="S9" s="32" t="str">
        <f>berekening1!Q15</f>
        <v>Gesposs Geel</v>
      </c>
      <c r="T9" s="33">
        <f>berekening1!R15</f>
        <v>5</v>
      </c>
      <c r="U9" s="33">
        <f>berekening1!S15</f>
        <v>2</v>
      </c>
      <c r="V9" s="33">
        <f>berekening1!T15</f>
        <v>1</v>
      </c>
      <c r="W9" s="33">
        <f>berekening1!U15</f>
        <v>2</v>
      </c>
      <c r="X9" s="34">
        <f>berekening1!V15</f>
        <v>7</v>
      </c>
      <c r="Y9" s="33">
        <f>berekening1!W15</f>
        <v>16</v>
      </c>
      <c r="Z9" s="33">
        <f>berekening1!X15</f>
        <v>13</v>
      </c>
      <c r="AA9" s="35">
        <f>berekening1!Y15</f>
        <v>3</v>
      </c>
    </row>
    <row r="10" spans="1:27" ht="17.399999999999999" x14ac:dyDescent="0.3">
      <c r="A10" s="28">
        <v>5</v>
      </c>
      <c r="B10" s="29">
        <v>0.5625</v>
      </c>
      <c r="C10" s="30">
        <v>5</v>
      </c>
      <c r="D10" s="20" t="s">
        <v>33</v>
      </c>
      <c r="E10" s="28" t="s">
        <v>27</v>
      </c>
      <c r="F10" s="28"/>
      <c r="G10" s="31" t="s">
        <v>16</v>
      </c>
      <c r="H10" s="28"/>
      <c r="I10" s="28" t="s">
        <v>161</v>
      </c>
      <c r="J10" s="22">
        <f>'5'!AO52</f>
        <v>7</v>
      </c>
      <c r="K10" s="31" t="s">
        <v>16</v>
      </c>
      <c r="L10" s="22">
        <f>'5'!$AR$52</f>
        <v>6</v>
      </c>
      <c r="M10" s="254" t="s">
        <v>203</v>
      </c>
      <c r="N10" s="255" t="s">
        <v>197</v>
      </c>
      <c r="O10" s="23" t="s">
        <v>98</v>
      </c>
      <c r="R10" s="32">
        <v>5</v>
      </c>
      <c r="S10" s="32" t="str">
        <f>berekening1!Q16</f>
        <v>VZ&amp;PC Nautilus 2</v>
      </c>
      <c r="T10" s="33">
        <f>berekening1!R16</f>
        <v>5</v>
      </c>
      <c r="U10" s="33">
        <f>berekening1!S16</f>
        <v>2</v>
      </c>
      <c r="V10" s="33">
        <f>berekening1!T16</f>
        <v>1</v>
      </c>
      <c r="W10" s="33">
        <f>berekening1!U16</f>
        <v>2</v>
      </c>
      <c r="X10" s="34">
        <f>berekening1!V16</f>
        <v>7</v>
      </c>
      <c r="Y10" s="33">
        <f>berekening1!W16</f>
        <v>17</v>
      </c>
      <c r="Z10" s="33">
        <f>berekening1!X16</f>
        <v>17</v>
      </c>
      <c r="AA10" s="35">
        <f>berekening1!Y16</f>
        <v>0</v>
      </c>
    </row>
    <row r="11" spans="1:27" ht="17.399999999999999" x14ac:dyDescent="0.3">
      <c r="A11" s="28">
        <v>6</v>
      </c>
      <c r="B11" s="29">
        <v>0.57638888888888884</v>
      </c>
      <c r="C11" s="30">
        <v>6</v>
      </c>
      <c r="D11" s="20" t="s">
        <v>33</v>
      </c>
      <c r="E11" s="28" t="s">
        <v>26</v>
      </c>
      <c r="F11" s="28"/>
      <c r="G11" s="31" t="s">
        <v>16</v>
      </c>
      <c r="H11" s="28"/>
      <c r="I11" s="28" t="s">
        <v>162</v>
      </c>
      <c r="J11" s="22">
        <f>'6'!AO52</f>
        <v>3</v>
      </c>
      <c r="K11" s="31" t="s">
        <v>16</v>
      </c>
      <c r="L11" s="22">
        <f>'6'!$AR$52</f>
        <v>1</v>
      </c>
      <c r="M11" s="254" t="s">
        <v>198</v>
      </c>
      <c r="N11" s="255" t="s">
        <v>201</v>
      </c>
      <c r="O11" s="23" t="s">
        <v>98</v>
      </c>
      <c r="R11" s="32">
        <v>6</v>
      </c>
      <c r="S11" s="32" t="str">
        <f>berekening1!Q17</f>
        <v>VZ&amp;PC Nautilus 1</v>
      </c>
      <c r="T11" s="33">
        <f>berekening1!R17</f>
        <v>5</v>
      </c>
      <c r="U11" s="33">
        <f>berekening1!S17</f>
        <v>2</v>
      </c>
      <c r="V11" s="33">
        <f>berekening1!T17</f>
        <v>0</v>
      </c>
      <c r="W11" s="33">
        <f>berekening1!U17</f>
        <v>3</v>
      </c>
      <c r="X11" s="34">
        <f>berekening1!V17</f>
        <v>6</v>
      </c>
      <c r="Y11" s="33">
        <f>berekening1!W17</f>
        <v>14</v>
      </c>
      <c r="Z11" s="33">
        <f>berekening1!X17</f>
        <v>17</v>
      </c>
      <c r="AA11" s="35">
        <f>berekening1!Y17</f>
        <v>-3</v>
      </c>
    </row>
    <row r="12" spans="1:27" ht="17.399999999999999" x14ac:dyDescent="0.3">
      <c r="A12" s="28">
        <v>7</v>
      </c>
      <c r="B12" s="29">
        <v>0.57638888888888884</v>
      </c>
      <c r="C12" s="30">
        <v>7</v>
      </c>
      <c r="D12" s="20" t="s">
        <v>18</v>
      </c>
      <c r="E12" s="28" t="s">
        <v>178</v>
      </c>
      <c r="F12" s="28"/>
      <c r="G12" s="31" t="s">
        <v>16</v>
      </c>
      <c r="H12" s="28"/>
      <c r="I12" s="28" t="s">
        <v>163</v>
      </c>
      <c r="J12" s="22">
        <f>'7'!AO52</f>
        <v>1</v>
      </c>
      <c r="K12" s="31" t="s">
        <v>16</v>
      </c>
      <c r="L12" s="22">
        <f>'7'!$AR$52</f>
        <v>5</v>
      </c>
      <c r="M12" s="254" t="s">
        <v>200</v>
      </c>
      <c r="N12" s="255" t="s">
        <v>199</v>
      </c>
      <c r="O12" s="23" t="s">
        <v>98</v>
      </c>
      <c r="R12" s="32">
        <v>7</v>
      </c>
      <c r="S12" s="32" t="str">
        <f>berekening1!Q18</f>
        <v>De Tubanten 2</v>
      </c>
      <c r="T12" s="33">
        <f>berekening1!R18</f>
        <v>4</v>
      </c>
      <c r="U12" s="33">
        <f>berekening1!S18</f>
        <v>1</v>
      </c>
      <c r="V12" s="33">
        <f>berekening1!T18</f>
        <v>0</v>
      </c>
      <c r="W12" s="33">
        <f>berekening1!U18</f>
        <v>3</v>
      </c>
      <c r="X12" s="34">
        <f>berekening1!V18</f>
        <v>3</v>
      </c>
      <c r="Y12" s="33">
        <f>berekening1!W18</f>
        <v>13</v>
      </c>
      <c r="Z12" s="33">
        <f>berekening1!X18</f>
        <v>20</v>
      </c>
      <c r="AA12" s="35">
        <f>berekening1!Y18</f>
        <v>-7</v>
      </c>
    </row>
    <row r="13" spans="1:27" ht="17.399999999999999" x14ac:dyDescent="0.3">
      <c r="A13" s="28">
        <v>8</v>
      </c>
      <c r="B13" s="29">
        <v>0.59027777777777779</v>
      </c>
      <c r="C13" s="30">
        <v>8</v>
      </c>
      <c r="D13" s="20" t="s">
        <v>33</v>
      </c>
      <c r="E13" s="28" t="s">
        <v>165</v>
      </c>
      <c r="F13" s="28"/>
      <c r="G13" s="31" t="s">
        <v>16</v>
      </c>
      <c r="H13" s="28"/>
      <c r="I13" s="28" t="s">
        <v>179</v>
      </c>
      <c r="J13" s="22">
        <f>'8'!AO52</f>
        <v>5</v>
      </c>
      <c r="K13" s="31" t="s">
        <v>16</v>
      </c>
      <c r="L13" s="22">
        <f>'8'!$AR$52</f>
        <v>3</v>
      </c>
      <c r="M13" s="254" t="s">
        <v>197</v>
      </c>
      <c r="N13" s="255" t="s">
        <v>204</v>
      </c>
      <c r="O13" s="23" t="s">
        <v>98</v>
      </c>
      <c r="R13" s="32">
        <v>8</v>
      </c>
      <c r="S13" s="32" t="str">
        <f>berekening1!Q19</f>
        <v>Aqua Novio</v>
      </c>
      <c r="T13" s="33">
        <f>berekening1!R19</f>
        <v>4</v>
      </c>
      <c r="U13" s="33">
        <f>berekening1!S19</f>
        <v>1</v>
      </c>
      <c r="V13" s="33">
        <f>berekening1!T19</f>
        <v>0</v>
      </c>
      <c r="W13" s="33">
        <f>berekening1!U19</f>
        <v>3</v>
      </c>
      <c r="X13" s="34">
        <f>berekening1!V19</f>
        <v>3</v>
      </c>
      <c r="Y13" s="33">
        <f>berekening1!W19</f>
        <v>16</v>
      </c>
      <c r="Z13" s="33">
        <f>berekening1!X19</f>
        <v>30</v>
      </c>
      <c r="AA13" s="35">
        <f>berekening1!Y19</f>
        <v>-14</v>
      </c>
    </row>
    <row r="14" spans="1:27" ht="17.399999999999999" x14ac:dyDescent="0.3">
      <c r="A14" s="28">
        <v>9</v>
      </c>
      <c r="B14" s="29">
        <v>0.60416666666666663</v>
      </c>
      <c r="C14" s="30">
        <v>9</v>
      </c>
      <c r="D14" s="20" t="s">
        <v>33</v>
      </c>
      <c r="E14" s="28" t="s">
        <v>161</v>
      </c>
      <c r="F14" s="28"/>
      <c r="G14" s="31" t="s">
        <v>16</v>
      </c>
      <c r="H14" s="28"/>
      <c r="I14" s="28" t="s">
        <v>166</v>
      </c>
      <c r="J14" s="22">
        <f>'9'!AO52</f>
        <v>3</v>
      </c>
      <c r="K14" s="31" t="s">
        <v>16</v>
      </c>
      <c r="L14" s="22">
        <f>'9'!$AR$52</f>
        <v>5</v>
      </c>
      <c r="M14" s="254" t="s">
        <v>202</v>
      </c>
      <c r="N14" s="255" t="s">
        <v>205</v>
      </c>
      <c r="O14" s="23" t="s">
        <v>98</v>
      </c>
      <c r="R14" s="32">
        <v>9</v>
      </c>
      <c r="S14" s="32" t="str">
        <f>berekening1!Q20</f>
        <v>RZ Roermond</v>
      </c>
      <c r="T14" s="33">
        <f>berekening1!R20</f>
        <v>5</v>
      </c>
      <c r="U14" s="33">
        <f>berekening1!S20</f>
        <v>0</v>
      </c>
      <c r="V14" s="33">
        <f>berekening1!T20</f>
        <v>0</v>
      </c>
      <c r="W14" s="33">
        <f>berekening1!U20</f>
        <v>5</v>
      </c>
      <c r="X14" s="34">
        <f>berekening1!V20</f>
        <v>0</v>
      </c>
      <c r="Y14" s="33">
        <f>berekening1!W20</f>
        <v>22</v>
      </c>
      <c r="Z14" s="33">
        <f>berekening1!X20</f>
        <v>39</v>
      </c>
      <c r="AA14" s="35">
        <f>berekening1!Y20</f>
        <v>-17</v>
      </c>
    </row>
    <row r="15" spans="1:27" ht="18" x14ac:dyDescent="0.3">
      <c r="A15" s="28">
        <v>10</v>
      </c>
      <c r="B15" s="29">
        <v>0.61805555555555558</v>
      </c>
      <c r="C15" s="30">
        <v>10</v>
      </c>
      <c r="D15" s="20" t="s">
        <v>33</v>
      </c>
      <c r="E15" s="28" t="s">
        <v>27</v>
      </c>
      <c r="F15" s="28"/>
      <c r="G15" s="31" t="s">
        <v>16</v>
      </c>
      <c r="H15" s="28"/>
      <c r="I15" s="28" t="s">
        <v>163</v>
      </c>
      <c r="J15" s="22">
        <f>'10'!AO52</f>
        <v>4</v>
      </c>
      <c r="K15" s="31" t="s">
        <v>16</v>
      </c>
      <c r="L15" s="22">
        <f>'10'!$AR$52</f>
        <v>9</v>
      </c>
      <c r="M15" s="254" t="s">
        <v>199</v>
      </c>
      <c r="N15" s="255" t="s">
        <v>206</v>
      </c>
      <c r="O15" s="23" t="s">
        <v>98</v>
      </c>
      <c r="R15" s="334" t="s">
        <v>175</v>
      </c>
      <c r="S15" s="335"/>
      <c r="T15" s="335"/>
      <c r="U15" s="335"/>
      <c r="V15" s="335"/>
    </row>
    <row r="16" spans="1:27" ht="17.399999999999999" x14ac:dyDescent="0.3">
      <c r="A16" s="28">
        <v>11</v>
      </c>
      <c r="B16" s="29">
        <v>0.63194444444444442</v>
      </c>
      <c r="C16" s="30">
        <v>11</v>
      </c>
      <c r="D16" s="20" t="s">
        <v>33</v>
      </c>
      <c r="E16" s="28" t="s">
        <v>162</v>
      </c>
      <c r="F16" s="28"/>
      <c r="G16" s="31" t="s">
        <v>16</v>
      </c>
      <c r="H16" s="28"/>
      <c r="I16" s="28" t="s">
        <v>178</v>
      </c>
      <c r="J16" s="22">
        <f>'11'!AO52</f>
        <v>2</v>
      </c>
      <c r="K16" s="31" t="s">
        <v>16</v>
      </c>
      <c r="L16" s="22">
        <f>'11'!$AR$52</f>
        <v>3</v>
      </c>
      <c r="M16" s="254" t="s">
        <v>198</v>
      </c>
      <c r="N16" s="255" t="s">
        <v>201</v>
      </c>
      <c r="O16" s="23" t="s">
        <v>98</v>
      </c>
      <c r="R16" s="36" t="s">
        <v>126</v>
      </c>
      <c r="S16" s="36" t="s">
        <v>127</v>
      </c>
      <c r="T16" s="36" t="s">
        <v>128</v>
      </c>
      <c r="U16" s="36" t="s">
        <v>129</v>
      </c>
      <c r="V16" s="36" t="s">
        <v>130</v>
      </c>
      <c r="W16" s="36" t="s">
        <v>131</v>
      </c>
      <c r="X16" s="36" t="s">
        <v>132</v>
      </c>
      <c r="Y16" s="36" t="s">
        <v>133</v>
      </c>
      <c r="Z16" s="36" t="s">
        <v>134</v>
      </c>
      <c r="AA16" s="36" t="s">
        <v>135</v>
      </c>
    </row>
    <row r="17" spans="1:27" ht="17.399999999999999" x14ac:dyDescent="0.3">
      <c r="A17" s="28">
        <v>12</v>
      </c>
      <c r="B17" s="29">
        <v>0.63194444444444442</v>
      </c>
      <c r="C17" s="30">
        <v>12</v>
      </c>
      <c r="D17" s="20" t="s">
        <v>18</v>
      </c>
      <c r="E17" s="28" t="s">
        <v>26</v>
      </c>
      <c r="F17" s="28"/>
      <c r="G17" s="31" t="s">
        <v>16</v>
      </c>
      <c r="H17" s="28"/>
      <c r="I17" s="28" t="s">
        <v>179</v>
      </c>
      <c r="J17" s="22">
        <f>'12'!AO52</f>
        <v>7</v>
      </c>
      <c r="K17" s="31" t="s">
        <v>16</v>
      </c>
      <c r="L17" s="22">
        <f>'12'!$AR$52</f>
        <v>3</v>
      </c>
      <c r="M17" s="254" t="s">
        <v>197</v>
      </c>
      <c r="N17" s="255" t="s">
        <v>200</v>
      </c>
      <c r="O17" s="23" t="s">
        <v>98</v>
      </c>
      <c r="R17" s="32">
        <v>1</v>
      </c>
      <c r="S17" s="32" t="str">
        <f>berekening1!Q33</f>
        <v>SVG Den Bosch</v>
      </c>
      <c r="T17" s="33">
        <f>berekening1!R33</f>
        <v>8</v>
      </c>
      <c r="U17" s="33">
        <f>berekening1!S33</f>
        <v>8</v>
      </c>
      <c r="V17" s="33">
        <f>berekening1!T33</f>
        <v>0</v>
      </c>
      <c r="W17" s="33">
        <f>berekening1!U33</f>
        <v>0</v>
      </c>
      <c r="X17" s="34">
        <f>berekening1!V33</f>
        <v>24</v>
      </c>
      <c r="Y17" s="33">
        <f>berekening1!W33</f>
        <v>53</v>
      </c>
      <c r="Z17" s="33">
        <f>berekening1!X33</f>
        <v>27</v>
      </c>
      <c r="AA17" s="33">
        <f>berekening1!Y33</f>
        <v>26</v>
      </c>
    </row>
    <row r="18" spans="1:27" ht="17.399999999999999" x14ac:dyDescent="0.3">
      <c r="A18" s="28">
        <v>13</v>
      </c>
      <c r="B18" s="29">
        <v>0.64583333333333337</v>
      </c>
      <c r="C18" s="30">
        <v>13</v>
      </c>
      <c r="D18" s="20" t="s">
        <v>33</v>
      </c>
      <c r="E18" s="28" t="s">
        <v>165</v>
      </c>
      <c r="F18" s="28"/>
      <c r="G18" s="31" t="s">
        <v>16</v>
      </c>
      <c r="H18" s="28"/>
      <c r="I18" s="28" t="s">
        <v>161</v>
      </c>
      <c r="J18" s="22">
        <f>'13'!AO52</f>
        <v>11</v>
      </c>
      <c r="K18" s="31" t="s">
        <v>16</v>
      </c>
      <c r="L18" s="22">
        <f>'13'!$AR$52</f>
        <v>7</v>
      </c>
      <c r="M18" s="254" t="s">
        <v>198</v>
      </c>
      <c r="N18" s="255" t="s">
        <v>204</v>
      </c>
      <c r="O18" s="23" t="s">
        <v>98</v>
      </c>
      <c r="R18" s="32">
        <v>2</v>
      </c>
      <c r="S18" s="32" t="str">
        <f>berekening1!Q34</f>
        <v>De Tubanten 1</v>
      </c>
      <c r="T18" s="33">
        <f>berekening1!R34</f>
        <v>8</v>
      </c>
      <c r="U18" s="33">
        <f>berekening1!S34</f>
        <v>7</v>
      </c>
      <c r="V18" s="33">
        <f>berekening1!T34</f>
        <v>0</v>
      </c>
      <c r="W18" s="33">
        <f>berekening1!U34</f>
        <v>1</v>
      </c>
      <c r="X18" s="34">
        <f>berekening1!V34</f>
        <v>21</v>
      </c>
      <c r="Y18" s="33">
        <f>berekening1!W34</f>
        <v>57</v>
      </c>
      <c r="Z18" s="33">
        <f>berekening1!X34</f>
        <v>28</v>
      </c>
      <c r="AA18" s="33">
        <f>berekening1!Y34</f>
        <v>29</v>
      </c>
    </row>
    <row r="19" spans="1:27" ht="17.399999999999999" x14ac:dyDescent="0.3">
      <c r="A19" s="28">
        <v>14</v>
      </c>
      <c r="B19" s="29">
        <v>0.64583333333333337</v>
      </c>
      <c r="C19" s="30">
        <v>14</v>
      </c>
      <c r="D19" s="20" t="s">
        <v>18</v>
      </c>
      <c r="E19" s="28" t="s">
        <v>166</v>
      </c>
      <c r="F19" s="28"/>
      <c r="G19" s="31" t="s">
        <v>16</v>
      </c>
      <c r="H19" s="28"/>
      <c r="I19" s="28" t="s">
        <v>163</v>
      </c>
      <c r="J19" s="22">
        <f>'14'!AO52</f>
        <v>2</v>
      </c>
      <c r="K19" s="31" t="s">
        <v>16</v>
      </c>
      <c r="L19" s="22">
        <f>'14'!$AR$52</f>
        <v>7</v>
      </c>
      <c r="M19" s="254" t="s">
        <v>200</v>
      </c>
      <c r="N19" s="255" t="s">
        <v>199</v>
      </c>
      <c r="O19" s="23" t="s">
        <v>98</v>
      </c>
      <c r="R19" s="32">
        <v>3</v>
      </c>
      <c r="S19" s="32" t="str">
        <f>berekening1!Q35</f>
        <v>Gesposs Blauw</v>
      </c>
      <c r="T19" s="33">
        <f>berekening1!R35</f>
        <v>8</v>
      </c>
      <c r="U19" s="33">
        <f>berekening1!S35</f>
        <v>6</v>
      </c>
      <c r="V19" s="33">
        <f>berekening1!T35</f>
        <v>0</v>
      </c>
      <c r="W19" s="33">
        <f>berekening1!U35</f>
        <v>2</v>
      </c>
      <c r="X19" s="34">
        <f>berekening1!V35</f>
        <v>18</v>
      </c>
      <c r="Y19" s="33">
        <f>berekening1!W35</f>
        <v>49</v>
      </c>
      <c r="Z19" s="33">
        <f>berekening1!X35</f>
        <v>28</v>
      </c>
      <c r="AA19" s="33">
        <f>berekening1!Y35</f>
        <v>21</v>
      </c>
    </row>
    <row r="20" spans="1:27" ht="17.399999999999999" x14ac:dyDescent="0.3">
      <c r="A20" s="28">
        <v>15</v>
      </c>
      <c r="B20" s="29">
        <v>0.65972222222222221</v>
      </c>
      <c r="C20" s="30">
        <v>15</v>
      </c>
      <c r="D20" s="20" t="s">
        <v>33</v>
      </c>
      <c r="E20" s="28" t="s">
        <v>27</v>
      </c>
      <c r="F20" s="28"/>
      <c r="G20" s="31" t="s">
        <v>16</v>
      </c>
      <c r="H20" s="28"/>
      <c r="I20" s="28" t="s">
        <v>162</v>
      </c>
      <c r="J20" s="22">
        <f>'15'!AO52</f>
        <v>2</v>
      </c>
      <c r="K20" s="31" t="s">
        <v>16</v>
      </c>
      <c r="L20" s="22">
        <f>'15'!$AR$52</f>
        <v>7</v>
      </c>
      <c r="M20" s="254" t="s">
        <v>201</v>
      </c>
      <c r="N20" s="255" t="s">
        <v>204</v>
      </c>
      <c r="O20" s="23" t="s">
        <v>98</v>
      </c>
      <c r="R20" s="32">
        <v>4</v>
      </c>
      <c r="S20" s="32" t="str">
        <f>berekening1!Q36</f>
        <v>VZ&amp;PC Nautilus 2</v>
      </c>
      <c r="T20" s="33">
        <f>berekening1!R36</f>
        <v>8</v>
      </c>
      <c r="U20" s="33">
        <f>berekening1!S36</f>
        <v>4</v>
      </c>
      <c r="V20" s="33">
        <f>berekening1!T36</f>
        <v>1</v>
      </c>
      <c r="W20" s="33">
        <f>berekening1!U36</f>
        <v>3</v>
      </c>
      <c r="X20" s="34">
        <f>berekening1!V36</f>
        <v>13</v>
      </c>
      <c r="Y20" s="33">
        <f>berekening1!W36</f>
        <v>33</v>
      </c>
      <c r="Z20" s="33">
        <f>berekening1!X36</f>
        <v>29</v>
      </c>
      <c r="AA20" s="33">
        <f>berekening1!Y36</f>
        <v>4</v>
      </c>
    </row>
    <row r="21" spans="1:27" ht="17.399999999999999" x14ac:dyDescent="0.3">
      <c r="A21" s="28">
        <v>16</v>
      </c>
      <c r="B21" s="29">
        <v>0.67361111111111116</v>
      </c>
      <c r="C21" s="30">
        <v>16</v>
      </c>
      <c r="D21" s="30" t="s">
        <v>33</v>
      </c>
      <c r="E21" s="28" t="s">
        <v>26</v>
      </c>
      <c r="F21" s="28"/>
      <c r="G21" s="31" t="s">
        <v>16</v>
      </c>
      <c r="H21" s="28"/>
      <c r="I21" s="28" t="s">
        <v>165</v>
      </c>
      <c r="J21" s="22">
        <f>'16'!AO52</f>
        <v>4</v>
      </c>
      <c r="K21" s="31" t="s">
        <v>16</v>
      </c>
      <c r="L21" s="22">
        <f>'16'!$AR$52</f>
        <v>3</v>
      </c>
      <c r="M21" s="254" t="s">
        <v>201</v>
      </c>
      <c r="N21" s="254" t="s">
        <v>199</v>
      </c>
      <c r="O21" s="261" t="s">
        <v>98</v>
      </c>
      <c r="R21" s="32">
        <v>5</v>
      </c>
      <c r="S21" s="32" t="str">
        <f>berekening1!Q37</f>
        <v>De Tubanten 2</v>
      </c>
      <c r="T21" s="33">
        <f>berekening1!R37</f>
        <v>8</v>
      </c>
      <c r="U21" s="33">
        <f>berekening1!S37</f>
        <v>3</v>
      </c>
      <c r="V21" s="33">
        <f>berekening1!T37</f>
        <v>0</v>
      </c>
      <c r="W21" s="33">
        <f>berekening1!U37</f>
        <v>5</v>
      </c>
      <c r="X21" s="34">
        <f>berekening1!V37</f>
        <v>9</v>
      </c>
      <c r="Y21" s="33">
        <f>berekening1!W37</f>
        <v>43</v>
      </c>
      <c r="Z21" s="33">
        <f>berekening1!X37</f>
        <v>47</v>
      </c>
      <c r="AA21" s="33">
        <f>berekening1!Y37</f>
        <v>-4</v>
      </c>
    </row>
    <row r="22" spans="1:27" ht="17.399999999999999" customHeight="1" x14ac:dyDescent="0.3">
      <c r="A22" s="28">
        <v>17</v>
      </c>
      <c r="B22" s="29">
        <v>0.67361111111111116</v>
      </c>
      <c r="C22" s="30">
        <v>17</v>
      </c>
      <c r="D22" s="30" t="s">
        <v>18</v>
      </c>
      <c r="E22" s="28" t="s">
        <v>178</v>
      </c>
      <c r="F22" s="28"/>
      <c r="G22" s="31" t="s">
        <v>16</v>
      </c>
      <c r="H22" s="28"/>
      <c r="I22" s="28" t="s">
        <v>179</v>
      </c>
      <c r="J22" s="22">
        <f>'17'!AO52</f>
        <v>1</v>
      </c>
      <c r="K22" s="31" t="s">
        <v>16</v>
      </c>
      <c r="L22" s="22">
        <f>'17'!$AR$52</f>
        <v>2</v>
      </c>
      <c r="M22" s="263" t="s">
        <v>197</v>
      </c>
      <c r="N22" s="263" t="s">
        <v>198</v>
      </c>
      <c r="O22" s="261" t="s">
        <v>98</v>
      </c>
      <c r="R22" s="32">
        <v>6</v>
      </c>
      <c r="S22" s="32" t="str">
        <f>berekening1!Q38</f>
        <v>VZ&amp;PC Nautilus 1</v>
      </c>
      <c r="T22" s="33">
        <f>berekening1!R38</f>
        <v>8</v>
      </c>
      <c r="U22" s="33">
        <f>berekening1!S38</f>
        <v>3</v>
      </c>
      <c r="V22" s="33">
        <f>berekening1!T38</f>
        <v>0</v>
      </c>
      <c r="W22" s="33">
        <f>berekening1!U38</f>
        <v>5</v>
      </c>
      <c r="X22" s="34">
        <f>berekening1!V38</f>
        <v>9</v>
      </c>
      <c r="Y22" s="33">
        <f>berekening1!W38</f>
        <v>30</v>
      </c>
      <c r="Z22" s="33">
        <f>berekening1!X38</f>
        <v>38</v>
      </c>
      <c r="AA22" s="33">
        <f>berekening1!Y38</f>
        <v>-8</v>
      </c>
    </row>
    <row r="23" spans="1:27" ht="17.399999999999999" customHeight="1" x14ac:dyDescent="0.3">
      <c r="A23" s="28">
        <v>18</v>
      </c>
      <c r="B23" s="29">
        <v>0.6875</v>
      </c>
      <c r="C23" s="30">
        <v>18</v>
      </c>
      <c r="D23" s="30" t="s">
        <v>33</v>
      </c>
      <c r="E23" s="28" t="s">
        <v>161</v>
      </c>
      <c r="F23" s="28"/>
      <c r="G23" s="31" t="s">
        <v>16</v>
      </c>
      <c r="H23" s="28"/>
      <c r="I23" s="28" t="s">
        <v>163</v>
      </c>
      <c r="J23" s="22">
        <f>'18'!AO52</f>
        <v>4</v>
      </c>
      <c r="K23" s="31" t="s">
        <v>16</v>
      </c>
      <c r="L23" s="22">
        <f>'18'!$AR$52</f>
        <v>8</v>
      </c>
      <c r="M23" s="263" t="s">
        <v>204</v>
      </c>
      <c r="N23" s="263" t="s">
        <v>199</v>
      </c>
      <c r="O23" s="261" t="s">
        <v>98</v>
      </c>
      <c r="R23" s="32">
        <v>7</v>
      </c>
      <c r="S23" s="32" t="str">
        <f>berekening1!Q39</f>
        <v>Gesposs Geel</v>
      </c>
      <c r="T23" s="33">
        <f>berekening1!R39</f>
        <v>8</v>
      </c>
      <c r="U23" s="33">
        <f>berekening1!S39</f>
        <v>2</v>
      </c>
      <c r="V23" s="33">
        <f>berekening1!T39</f>
        <v>1</v>
      </c>
      <c r="W23" s="33">
        <f>berekening1!U39</f>
        <v>5</v>
      </c>
      <c r="X23" s="34">
        <f>berekening1!V39</f>
        <v>7</v>
      </c>
      <c r="Y23" s="33">
        <f>berekening1!W39</f>
        <v>27</v>
      </c>
      <c r="Z23" s="33">
        <f>berekening1!X39</f>
        <v>40</v>
      </c>
      <c r="AA23" s="33">
        <f>berekening1!Y39</f>
        <v>-13</v>
      </c>
    </row>
    <row r="24" spans="1:27" ht="17.399999999999999" customHeight="1" x14ac:dyDescent="0.3">
      <c r="A24" s="28">
        <v>19</v>
      </c>
      <c r="B24" s="29">
        <v>0.70138888888888884</v>
      </c>
      <c r="C24" s="30">
        <v>19</v>
      </c>
      <c r="D24" s="30" t="s">
        <v>33</v>
      </c>
      <c r="E24" s="28" t="s">
        <v>26</v>
      </c>
      <c r="F24" s="28"/>
      <c r="G24" s="31" t="s">
        <v>16</v>
      </c>
      <c r="H24" s="28"/>
      <c r="I24" s="28" t="s">
        <v>178</v>
      </c>
      <c r="J24" s="22">
        <f>'19'!AO52</f>
        <v>6</v>
      </c>
      <c r="K24" s="31" t="s">
        <v>16</v>
      </c>
      <c r="L24" s="22">
        <f>'19'!$AR$52</f>
        <v>1</v>
      </c>
      <c r="M24" s="263" t="s">
        <v>197</v>
      </c>
      <c r="N24" s="263" t="s">
        <v>200</v>
      </c>
      <c r="O24" s="261" t="s">
        <v>98</v>
      </c>
      <c r="R24" s="32">
        <v>8</v>
      </c>
      <c r="S24" s="32" t="str">
        <f>berekening1!Q40</f>
        <v>RZ Roermond</v>
      </c>
      <c r="T24" s="33">
        <f>berekening1!R40</f>
        <v>8</v>
      </c>
      <c r="U24" s="33">
        <f>berekening1!S40</f>
        <v>1</v>
      </c>
      <c r="V24" s="33">
        <f>berekening1!T40</f>
        <v>0</v>
      </c>
      <c r="W24" s="33">
        <f>berekening1!U40</f>
        <v>7</v>
      </c>
      <c r="X24" s="34">
        <f>berekening1!V40</f>
        <v>3</v>
      </c>
      <c r="Y24" s="33">
        <f>berekening1!W40</f>
        <v>39</v>
      </c>
      <c r="Z24" s="33">
        <f>berekening1!X40</f>
        <v>59</v>
      </c>
      <c r="AA24" s="33">
        <f>berekening1!Y40</f>
        <v>-20</v>
      </c>
    </row>
    <row r="25" spans="1:27" ht="17.399999999999999" customHeight="1" x14ac:dyDescent="0.3">
      <c r="A25" s="28">
        <v>20</v>
      </c>
      <c r="B25" s="29">
        <v>0.70138888888888884</v>
      </c>
      <c r="C25" s="30">
        <v>20</v>
      </c>
      <c r="D25" s="30" t="s">
        <v>18</v>
      </c>
      <c r="E25" s="28" t="s">
        <v>162</v>
      </c>
      <c r="F25" s="28"/>
      <c r="G25" s="31" t="s">
        <v>16</v>
      </c>
      <c r="H25" s="28"/>
      <c r="I25" s="28" t="s">
        <v>166</v>
      </c>
      <c r="J25" s="22">
        <f>'20'!AO52</f>
        <v>5</v>
      </c>
      <c r="K25" s="31" t="s">
        <v>16</v>
      </c>
      <c r="L25" s="22">
        <f>'20'!$AR$52</f>
        <v>4</v>
      </c>
      <c r="M25" s="263" t="s">
        <v>198</v>
      </c>
      <c r="N25" s="263" t="s">
        <v>201</v>
      </c>
      <c r="O25" s="261" t="s">
        <v>98</v>
      </c>
      <c r="R25" s="32">
        <v>9</v>
      </c>
      <c r="S25" s="32" t="str">
        <f>berekening1!Q41</f>
        <v>Aqua Novio</v>
      </c>
      <c r="T25" s="33">
        <f>berekening1!R41</f>
        <v>8</v>
      </c>
      <c r="U25" s="33">
        <f>berekening1!S41</f>
        <v>1</v>
      </c>
      <c r="V25" s="33">
        <f>berekening1!T41</f>
        <v>0</v>
      </c>
      <c r="W25" s="33">
        <f>berekening1!U41</f>
        <v>7</v>
      </c>
      <c r="X25" s="34">
        <f>berekening1!V41</f>
        <v>3</v>
      </c>
      <c r="Y25" s="33">
        <f>berekening1!W41</f>
        <v>35</v>
      </c>
      <c r="Z25" s="33">
        <f>berekening1!X41</f>
        <v>70</v>
      </c>
      <c r="AA25" s="33">
        <f>berekening1!Y41</f>
        <v>-35</v>
      </c>
    </row>
    <row r="26" spans="1:27" ht="17.399999999999999" customHeight="1" x14ac:dyDescent="0.3">
      <c r="A26" s="18">
        <v>21</v>
      </c>
      <c r="B26" s="19">
        <v>0.71527777777777779</v>
      </c>
      <c r="C26" s="20">
        <v>21</v>
      </c>
      <c r="D26" s="20" t="s">
        <v>33</v>
      </c>
      <c r="E26" s="18" t="s">
        <v>27</v>
      </c>
      <c r="F26" s="18"/>
      <c r="G26" s="317" t="s">
        <v>16</v>
      </c>
      <c r="H26" s="18"/>
      <c r="I26" s="18" t="s">
        <v>179</v>
      </c>
      <c r="J26" s="22">
        <f>'21'!AO52</f>
        <v>3</v>
      </c>
      <c r="K26" s="317" t="s">
        <v>16</v>
      </c>
      <c r="L26" s="22">
        <f>'21'!$AR$52</f>
        <v>8</v>
      </c>
      <c r="M26" s="318" t="s">
        <v>207</v>
      </c>
      <c r="N26" s="318" t="s">
        <v>200</v>
      </c>
      <c r="O26" s="316" t="s">
        <v>98</v>
      </c>
    </row>
    <row r="27" spans="1:27" ht="15" customHeight="1" x14ac:dyDescent="0.25">
      <c r="R27" s="339"/>
      <c r="S27" s="340"/>
      <c r="T27" s="340"/>
      <c r="U27" s="340"/>
      <c r="V27" s="340"/>
      <c r="W27" s="313"/>
      <c r="X27" s="313"/>
      <c r="Y27" s="313"/>
      <c r="Z27" s="313"/>
      <c r="AA27" s="313"/>
    </row>
    <row r="28" spans="1:27" ht="15" customHeight="1" x14ac:dyDescent="0.25">
      <c r="B28" s="319" t="s">
        <v>99</v>
      </c>
      <c r="C28" s="320"/>
      <c r="D28" s="320"/>
      <c r="E28" s="321"/>
      <c r="I28" s="319" t="s">
        <v>100</v>
      </c>
      <c r="J28" s="320"/>
      <c r="K28" s="320"/>
      <c r="L28" s="321"/>
      <c r="R28" s="314"/>
      <c r="S28" s="314"/>
      <c r="T28" s="314"/>
      <c r="U28" s="314"/>
      <c r="V28" s="314"/>
      <c r="W28" s="314"/>
      <c r="X28" s="314"/>
      <c r="Y28" s="314"/>
      <c r="Z28" s="314"/>
      <c r="AA28" s="314"/>
    </row>
    <row r="29" spans="1:27" ht="15.6" x14ac:dyDescent="0.25">
      <c r="B29" s="322"/>
      <c r="C29" s="323"/>
      <c r="D29" s="323"/>
      <c r="E29" s="324"/>
      <c r="I29" s="322"/>
      <c r="J29" s="323"/>
      <c r="K29" s="323"/>
      <c r="L29" s="32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</row>
    <row r="30" spans="1:27" x14ac:dyDescent="0.25">
      <c r="R30" s="313"/>
      <c r="S30" s="313"/>
      <c r="T30" s="315"/>
      <c r="U30" s="315"/>
      <c r="V30" s="315"/>
      <c r="W30" s="315"/>
      <c r="X30" s="315"/>
      <c r="Y30" s="315"/>
      <c r="Z30" s="315"/>
      <c r="AA30" s="315"/>
    </row>
    <row r="31" spans="1:27" x14ac:dyDescent="0.25">
      <c r="B31" s="325" t="s">
        <v>118</v>
      </c>
      <c r="C31" s="326"/>
      <c r="D31" s="326"/>
      <c r="E31" s="327"/>
      <c r="I31" s="325" t="s">
        <v>125</v>
      </c>
      <c r="J31" s="326"/>
      <c r="K31" s="326"/>
      <c r="L31" s="327"/>
      <c r="R31" s="313"/>
      <c r="S31" s="313"/>
      <c r="T31" s="315"/>
      <c r="U31" s="315"/>
      <c r="V31" s="315"/>
      <c r="W31" s="315"/>
      <c r="X31" s="315"/>
      <c r="Y31" s="315"/>
      <c r="Z31" s="315"/>
      <c r="AA31" s="315"/>
    </row>
    <row r="32" spans="1:27" x14ac:dyDescent="0.25">
      <c r="B32" s="328"/>
      <c r="C32" s="329"/>
      <c r="D32" s="329"/>
      <c r="E32" s="330"/>
      <c r="I32" s="328"/>
      <c r="J32" s="329"/>
      <c r="K32" s="329"/>
      <c r="L32" s="330"/>
      <c r="R32" s="313"/>
      <c r="S32" s="313"/>
      <c r="T32" s="315"/>
      <c r="U32" s="315"/>
      <c r="V32" s="315"/>
      <c r="W32" s="315"/>
      <c r="X32" s="315"/>
      <c r="Y32" s="315"/>
      <c r="Z32" s="315"/>
      <c r="AA32" s="315"/>
    </row>
    <row r="33" spans="2:27" x14ac:dyDescent="0.25">
      <c r="R33" s="313"/>
      <c r="S33" s="313"/>
      <c r="T33" s="315"/>
      <c r="U33" s="315"/>
      <c r="V33" s="315"/>
      <c r="W33" s="315"/>
      <c r="X33" s="315"/>
      <c r="Y33" s="315"/>
      <c r="Z33" s="315"/>
      <c r="AA33" s="315"/>
    </row>
    <row r="34" spans="2:27" x14ac:dyDescent="0.25">
      <c r="B34" s="319" t="s">
        <v>157</v>
      </c>
      <c r="C34" s="320"/>
      <c r="D34" s="320"/>
      <c r="E34" s="321"/>
    </row>
    <row r="35" spans="2:27" x14ac:dyDescent="0.25">
      <c r="B35" s="322"/>
      <c r="C35" s="323"/>
      <c r="D35" s="323"/>
      <c r="E35" s="324"/>
    </row>
    <row r="38" spans="2:27" x14ac:dyDescent="0.25">
      <c r="B38" s="262"/>
      <c r="M38" s="264"/>
      <c r="N38" s="264"/>
    </row>
    <row r="39" spans="2:27" x14ac:dyDescent="0.25">
      <c r="B39" s="262"/>
      <c r="M39" s="264"/>
      <c r="N39" s="264"/>
    </row>
    <row r="40" spans="2:27" x14ac:dyDescent="0.25">
      <c r="B40" s="262"/>
      <c r="M40" s="264"/>
      <c r="N40" s="264"/>
    </row>
    <row r="41" spans="2:27" x14ac:dyDescent="0.25">
      <c r="B41" s="262"/>
      <c r="M41" s="264"/>
      <c r="N41" s="264"/>
    </row>
    <row r="42" spans="2:27" x14ac:dyDescent="0.25">
      <c r="B42" s="262"/>
      <c r="M42" s="264"/>
      <c r="N42" s="264"/>
    </row>
    <row r="43" spans="2:27" x14ac:dyDescent="0.25">
      <c r="B43" s="262"/>
      <c r="M43" s="264"/>
      <c r="N43" s="264"/>
    </row>
    <row r="44" spans="2:27" x14ac:dyDescent="0.25">
      <c r="B44" s="262"/>
      <c r="M44" s="264"/>
      <c r="N44" s="264"/>
    </row>
    <row r="45" spans="2:27" x14ac:dyDescent="0.25">
      <c r="B45" s="262"/>
      <c r="M45" s="264"/>
      <c r="N45" s="264"/>
    </row>
  </sheetData>
  <sheetProtection sheet="1" objects="1" scenarios="1"/>
  <mergeCells count="11">
    <mergeCell ref="R3:V3"/>
    <mergeCell ref="B28:E29"/>
    <mergeCell ref="K2:O2"/>
    <mergeCell ref="I31:L32"/>
    <mergeCell ref="R15:V15"/>
    <mergeCell ref="R27:V27"/>
    <mergeCell ref="B34:E35"/>
    <mergeCell ref="B31:E32"/>
    <mergeCell ref="I28:L29"/>
    <mergeCell ref="C1:J1"/>
    <mergeCell ref="M3:N3"/>
  </mergeCells>
  <hyperlinks>
    <hyperlink ref="O6" location="'1'!A1" display="Formulier" xr:uid="{7908F7BB-C9B2-45F7-93E0-829D5D9119A8}"/>
    <hyperlink ref="O7" location="'2'!A1" display="Formulier" xr:uid="{0837BCC0-77F0-47CC-B5EB-723CDDF91F07}"/>
    <hyperlink ref="O8" location="'3'!A1" display="Formulier" xr:uid="{B1A5138D-92B2-4962-BC5E-5A9C191F7A6C}"/>
    <hyperlink ref="O9" location="'4'!A1" display="Formulier" xr:uid="{E3A77F4D-3F20-4A4E-9F49-3C132C7BC9CF}"/>
    <hyperlink ref="O10" location="'5'!A1" display="Formulier" xr:uid="{2071F312-6C0E-494B-8AD7-05C00BC2673D}"/>
    <hyperlink ref="O11" location="'6'!A1" display="Formulier" xr:uid="{93C9D007-FD48-4534-98B9-A29EA36FA5C7}"/>
    <hyperlink ref="O12" location="'7'!A1" display="Formulier" xr:uid="{0383D03F-AE08-49FA-AFE0-832A15E85444}"/>
    <hyperlink ref="O13" location="'8'!A1" display="Formulier" xr:uid="{EEE08959-3CBD-4D35-B8CF-2DD6649E401A}"/>
    <hyperlink ref="O14" location="'9'!A1" display="Formulier" xr:uid="{8701930D-5B47-4F19-A72E-C529AE4B702A}"/>
    <hyperlink ref="O15" location="'10'!A1" display="Formulier" xr:uid="{00711268-F2C4-43BA-ADEC-EC7D62038F05}"/>
    <hyperlink ref="O16" location="'11'!A1" display="Formulier" xr:uid="{59501359-C5C9-488A-93FC-C956709E9B0C}"/>
    <hyperlink ref="O17" location="'12'!A1" display="Formulier" xr:uid="{D69E5B8D-00F0-4408-BD01-DF5417F02AFE}"/>
    <hyperlink ref="O18" location="'13'!A1" display="Formulier" xr:uid="{FA699054-D28B-432D-8DD9-9D86CF7D03CA}"/>
    <hyperlink ref="O19" location="'14'!A1" display="Formulier" xr:uid="{F9030084-680F-4776-9415-29BD1FE9EACC}"/>
    <hyperlink ref="O20" location="'15'!A1" display="Formulier" xr:uid="{78D7EAF3-6375-4FEE-8DAA-23D5F93936FB}"/>
    <hyperlink ref="B28:E29" location="spelerslijsten!A1" display="Spelerslijst" xr:uid="{33EE807F-FFC5-4842-8487-D1F7545D75B2}"/>
    <hyperlink ref="I28:L29" location="Topscorelijst!A1" display="Topscorelijst" xr:uid="{6D17E586-E8E5-4E45-8470-62D462365B36}"/>
    <hyperlink ref="B31:E32" location="Handleiding!A1" display="Handleiding" xr:uid="{944525FE-14CA-447C-AB40-A6920BD9A77A}"/>
    <hyperlink ref="B34:E35" location="Handtekening!A1" display="Handtekening" xr:uid="{3855594D-328A-4726-BABD-FBBEEA803BE0}"/>
    <hyperlink ref="O21" location="'16'!A1" display="Formulier" xr:uid="{73F61A9E-3C9F-4610-B282-024136268DF3}"/>
    <hyperlink ref="O22:O25" location="'16'!A1" display="Formulier" xr:uid="{942FBB29-FCC1-43D2-A8B4-2AE75FF2427A}"/>
    <hyperlink ref="O22" location="'17'!A1" display="Formulier" xr:uid="{3FBCDFB3-567B-41F0-88C2-CF3A3849D09B}"/>
    <hyperlink ref="O23" location="'18'!A1" display="Formulier" xr:uid="{6551D9BD-72F4-4848-84D8-3A8946F327FE}"/>
    <hyperlink ref="O24" location="'19'!A1" display="Formulier" xr:uid="{56051CE9-8BD7-445D-BC31-1B5F66ACEF07}"/>
    <hyperlink ref="O25" location="'20'!A1" display="Formulier" xr:uid="{A2F713B1-4B93-45B8-B731-5BCF3B88B685}"/>
    <hyperlink ref="I31:L32" location="Wedstrijdformulier!A1" display="Wedstrijdformulier om te printen" xr:uid="{0CB936BA-F2D4-4F06-93CA-8D7C2CCFC41A}"/>
    <hyperlink ref="O26" location="'21'!A1" display="Formulier" xr:uid="{EAD60B57-C098-4799-876E-972C94BD7FA1}"/>
  </hyperlinks>
  <pageMargins left="0.7" right="0.7" top="0.75" bottom="0.75" header="0.3" footer="0.3"/>
  <pageSetup paperSize="9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D5ABD-1EE7-4237-9998-C1BE4859530D}">
  <sheetPr codeName="Blad21"/>
  <dimension ref="A1:Z462"/>
  <sheetViews>
    <sheetView workbookViewId="0">
      <selection activeCell="A2" sqref="A2"/>
    </sheetView>
  </sheetViews>
  <sheetFormatPr defaultRowHeight="14.4" x14ac:dyDescent="0.3"/>
  <cols>
    <col min="1" max="1" width="14.33203125" bestFit="1" customWidth="1"/>
    <col min="3" max="3" width="23.6640625" bestFit="1" customWidth="1"/>
    <col min="6" max="6" width="39.44140625" bestFit="1" customWidth="1"/>
    <col min="10" max="10" width="14.33203125" bestFit="1" customWidth="1"/>
    <col min="11" max="11" width="9.109375" style="1"/>
    <col min="12" max="12" width="21.5546875" bestFit="1" customWidth="1"/>
    <col min="13" max="13" width="33.5546875" bestFit="1" customWidth="1"/>
    <col min="16" max="16" width="23.6640625" bestFit="1" customWidth="1"/>
    <col min="17" max="17" width="14.33203125" bestFit="1" customWidth="1"/>
    <col min="24" max="24" width="23.6640625" bestFit="1" customWidth="1"/>
    <col min="25" max="25" width="14.33203125" bestFit="1" customWidth="1"/>
    <col min="26" max="26" width="5.21875" bestFit="1" customWidth="1"/>
  </cols>
  <sheetData>
    <row r="1" spans="1:26" x14ac:dyDescent="0.3">
      <c r="A1" t="s">
        <v>80</v>
      </c>
      <c r="C1" t="s">
        <v>95</v>
      </c>
      <c r="D1" t="s">
        <v>78</v>
      </c>
      <c r="F1" t="s">
        <v>96</v>
      </c>
    </row>
    <row r="2" spans="1:26" x14ac:dyDescent="0.3">
      <c r="A2" t="str">
        <f>Wedstrijden!$E$6</f>
        <v>VZ&amp;PC Nautilus 1</v>
      </c>
      <c r="B2">
        <f>'1'!B14:C14</f>
        <v>2</v>
      </c>
      <c r="C2" t="str">
        <f>HLOOKUP(A2,spelerslijsten!$B$1:$J$22,3,FALSE)</f>
        <v>Corne Braken</v>
      </c>
      <c r="D2">
        <f>'1'!V14</f>
        <v>3</v>
      </c>
      <c r="F2" t="str">
        <f>CONCATENATE(A2&amp;B2&amp;C2)</f>
        <v>VZ&amp;PC Nautilus 12Corne Braken</v>
      </c>
      <c r="G2">
        <f>D2</f>
        <v>3</v>
      </c>
      <c r="J2" t="str">
        <f>spelerslijsten!B1</f>
        <v>VZ&amp;PC Nautilus 1</v>
      </c>
      <c r="K2" s="1">
        <f>HLOOKUP(J2,spelerslijsten!$B$1:$J$22,4,FALSE)</f>
        <v>2</v>
      </c>
      <c r="L2" t="str">
        <f>HLOOKUP(J2,spelerslijsten!$B$1:$J$22,3,FALSE)</f>
        <v>Corne Braken</v>
      </c>
      <c r="M2" t="str">
        <f>CONCATENATE(J2&amp;K2&amp;L2)</f>
        <v>VZ&amp;PC Nautilus 12Corne Braken</v>
      </c>
      <c r="N2">
        <f>SUMIF($F$2:$F$440,M2,$G$2:$G$462)</f>
        <v>3</v>
      </c>
      <c r="O2">
        <f>SUM(S2:V2)</f>
        <v>20</v>
      </c>
      <c r="P2" t="str">
        <f>L2</f>
        <v>Corne Braken</v>
      </c>
      <c r="Q2" t="str">
        <f>J2</f>
        <v>VZ&amp;PC Nautilus 1</v>
      </c>
      <c r="R2">
        <f>N2</f>
        <v>3</v>
      </c>
      <c r="S2">
        <f>RANK(R2,$R$2:$R$91)</f>
        <v>19</v>
      </c>
      <c r="T2" cm="1">
        <f t="array" ref="T2">SUMPRODUCT(($R$2:$R$91=R2)*($Q$2:$Q$91&gt;Q2))</f>
        <v>0</v>
      </c>
      <c r="U2" cm="1">
        <f t="array" ref="U2">SUMPRODUCT(($R$2:$R$91=R2)*($Q$2:$Q$91=Q2)*($P$2:$P$91&gt;P2))</f>
        <v>1</v>
      </c>
      <c r="V2" cm="1">
        <f t="array" ref="V2">SUMPRODUCT(($R$2:$R$91=R2)*($Q$2:$Q$91=Q2)*($P$2:$P$91=P2)*($W$2:$W$91&gt;W2))</f>
        <v>0</v>
      </c>
      <c r="W2">
        <v>1</v>
      </c>
      <c r="X2" t="str">
        <f>VLOOKUP(W2,$O$2:$R$91,2,FALSE)</f>
        <v>Wilma van Helden</v>
      </c>
      <c r="Y2" t="str">
        <f>VLOOKUP(W2,$O$2:$R$91,3,FALSE)</f>
        <v>RZ Roermond</v>
      </c>
      <c r="Z2">
        <f>VLOOKUP(W2,$O$2:$R$91,4,FALSE)</f>
        <v>16</v>
      </c>
    </row>
    <row r="3" spans="1:26" x14ac:dyDescent="0.3">
      <c r="A3" t="str">
        <f>Wedstrijden!$E$6</f>
        <v>VZ&amp;PC Nautilus 1</v>
      </c>
      <c r="B3">
        <f>'1'!B15:C15</f>
        <v>3</v>
      </c>
      <c r="C3" t="str">
        <f>HLOOKUP(A3,spelerslijsten!$B$1:$J$22,5,FALSE)</f>
        <v>Kevin Kanters</v>
      </c>
      <c r="D3">
        <f>'1'!V15</f>
        <v>1</v>
      </c>
      <c r="F3" t="str">
        <f t="shared" ref="F3:F66" si="0">CONCATENATE(A3&amp;B3&amp;C3)</f>
        <v>VZ&amp;PC Nautilus 13Kevin Kanters</v>
      </c>
      <c r="G3">
        <f t="shared" ref="G3:G66" si="1">D3</f>
        <v>1</v>
      </c>
      <c r="J3" t="str">
        <f>J2</f>
        <v>VZ&amp;PC Nautilus 1</v>
      </c>
      <c r="K3" s="1">
        <f>HLOOKUP(J3,spelerslijsten!$B$1:$J$22,6,FALSE)</f>
        <v>3</v>
      </c>
      <c r="L3" t="str">
        <f>HLOOKUP(J3,spelerslijsten!$B$1:$J$22,5,FALSE)</f>
        <v>Kevin Kanters</v>
      </c>
      <c r="M3" t="str">
        <f t="shared" ref="M3:M35" si="2">CONCATENATE(J3&amp;K3&amp;L3)</f>
        <v>VZ&amp;PC Nautilus 13Kevin Kanters</v>
      </c>
      <c r="N3">
        <f t="shared" ref="N3:N66" si="3">SUMIF($F$2:$F$440,M3,$G$2:$G$462)</f>
        <v>3</v>
      </c>
      <c r="O3">
        <f t="shared" ref="O3:O66" si="4">SUM(S3:V3)</f>
        <v>19</v>
      </c>
      <c r="P3" t="str">
        <f t="shared" ref="P3:P11" si="5">L3</f>
        <v>Kevin Kanters</v>
      </c>
      <c r="Q3" t="str">
        <f t="shared" ref="Q3:Q11" si="6">J3</f>
        <v>VZ&amp;PC Nautilus 1</v>
      </c>
      <c r="R3">
        <f t="shared" ref="R3:R11" si="7">N3</f>
        <v>3</v>
      </c>
      <c r="S3">
        <f t="shared" ref="S3:S66" si="8">RANK(R3,$R$2:$R$91)</f>
        <v>19</v>
      </c>
      <c r="T3" cm="1">
        <f t="array" ref="T3">SUMPRODUCT(($R$2:$R$91=R3)*($Q$2:$Q$91&gt;Q3))</f>
        <v>0</v>
      </c>
      <c r="U3" cm="1">
        <f t="array" ref="U3">SUMPRODUCT(($R$2:$R$91=R3)*($Q$2:$Q$91=Q3)*($P$2:$P$91&gt;P3))</f>
        <v>0</v>
      </c>
      <c r="V3" cm="1">
        <f t="array" ref="V3">SUMPRODUCT(($R$2:$R$91=R3)*($Q$2:$Q$91=Q3)*($P$2:$P$91=P3)*($W$2:$W$91&gt;W3))</f>
        <v>0</v>
      </c>
      <c r="W3">
        <v>2</v>
      </c>
      <c r="X3" t="str">
        <f t="shared" ref="X3:X66" si="9">VLOOKUP(W3,$O$2:$R$91,2,FALSE)</f>
        <v>Romy Hoed-Venterink</v>
      </c>
      <c r="Y3" t="str">
        <f t="shared" ref="Y3:Y66" si="10">VLOOKUP(W3,$O$2:$R$91,3,FALSE)</f>
        <v>Gesposs Blauw</v>
      </c>
      <c r="Z3">
        <f t="shared" ref="Z3:Z66" si="11">VLOOKUP(W3,$O$2:$R$91,4,FALSE)</f>
        <v>15</v>
      </c>
    </row>
    <row r="4" spans="1:26" x14ac:dyDescent="0.3">
      <c r="A4" t="str">
        <f>Wedstrijden!$E$6</f>
        <v>VZ&amp;PC Nautilus 1</v>
      </c>
      <c r="B4">
        <f>'1'!B16:C16</f>
        <v>4</v>
      </c>
      <c r="C4" t="str">
        <f>HLOOKUP(A4,spelerslijsten!$B$1:$J$22,7,FALSE)</f>
        <v>Monique Schouten</v>
      </c>
      <c r="D4">
        <f>'1'!V16</f>
        <v>0</v>
      </c>
      <c r="F4" t="str">
        <f t="shared" si="0"/>
        <v>VZ&amp;PC Nautilus 14Monique Schouten</v>
      </c>
      <c r="G4">
        <f t="shared" si="1"/>
        <v>0</v>
      </c>
      <c r="J4" t="str">
        <f t="shared" ref="J4:J11" si="12">J3</f>
        <v>VZ&amp;PC Nautilus 1</v>
      </c>
      <c r="K4" s="1">
        <f>HLOOKUP(J4,spelerslijsten!$B$1:$J$22,8,FALSE)</f>
        <v>4</v>
      </c>
      <c r="L4" t="str">
        <f>HLOOKUP(J4,spelerslijsten!$B$1:$J$22,7,FALSE)</f>
        <v>Monique Schouten</v>
      </c>
      <c r="M4" t="str">
        <f t="shared" si="2"/>
        <v>VZ&amp;PC Nautilus 14Monique Schouten</v>
      </c>
      <c r="N4">
        <f t="shared" si="3"/>
        <v>1</v>
      </c>
      <c r="O4">
        <f t="shared" si="4"/>
        <v>35</v>
      </c>
      <c r="P4" t="str">
        <f t="shared" si="5"/>
        <v>Monique Schouten</v>
      </c>
      <c r="Q4" t="str">
        <f t="shared" si="6"/>
        <v>VZ&amp;PC Nautilus 1</v>
      </c>
      <c r="R4">
        <f t="shared" si="7"/>
        <v>1</v>
      </c>
      <c r="S4">
        <f t="shared" si="8"/>
        <v>32</v>
      </c>
      <c r="T4" cm="1">
        <f t="array" ref="T4">SUMPRODUCT(($R$2:$R$91=R4)*($Q$2:$Q$91&gt;Q4))</f>
        <v>3</v>
      </c>
      <c r="U4" cm="1">
        <f t="array" ref="U4">SUMPRODUCT(($R$2:$R$91=R4)*($Q$2:$Q$91=Q4)*($P$2:$P$91&gt;P4))</f>
        <v>0</v>
      </c>
      <c r="V4" cm="1">
        <f t="array" ref="V4">SUMPRODUCT(($R$2:$R$91=R4)*($Q$2:$Q$91=Q4)*($P$2:$P$91=P4)*($W$2:$W$91&gt;W4))</f>
        <v>0</v>
      </c>
      <c r="W4">
        <v>3</v>
      </c>
      <c r="X4" t="str">
        <f t="shared" si="9"/>
        <v>Wesley van Eldijk</v>
      </c>
      <c r="Y4" t="str">
        <f t="shared" si="10"/>
        <v>SVG Den Bosch</v>
      </c>
      <c r="Z4">
        <f t="shared" si="11"/>
        <v>12</v>
      </c>
    </row>
    <row r="5" spans="1:26" x14ac:dyDescent="0.3">
      <c r="A5" t="str">
        <f>Wedstrijden!$E$6</f>
        <v>VZ&amp;PC Nautilus 1</v>
      </c>
      <c r="B5">
        <f>'1'!B17:C17</f>
        <v>5</v>
      </c>
      <c r="C5" t="str">
        <f>HLOOKUP(A5,spelerslijsten!$B$1:$J$22,9,FALSE)</f>
        <v>Miranda van Schaijk</v>
      </c>
      <c r="D5">
        <f>'1'!V17</f>
        <v>0</v>
      </c>
      <c r="F5" t="str">
        <f t="shared" si="0"/>
        <v>VZ&amp;PC Nautilus 15Miranda van Schaijk</v>
      </c>
      <c r="G5">
        <f t="shared" si="1"/>
        <v>0</v>
      </c>
      <c r="J5" t="str">
        <f t="shared" si="12"/>
        <v>VZ&amp;PC Nautilus 1</v>
      </c>
      <c r="K5" s="1">
        <f>HLOOKUP(J5,spelerslijsten!$B$1:$J$22,10,FALSE)</f>
        <v>5</v>
      </c>
      <c r="L5" t="str">
        <f>HLOOKUP(J5,spelerslijsten!$B$1:$J$22,9,FALSE)</f>
        <v>Miranda van Schaijk</v>
      </c>
      <c r="M5" t="str">
        <f t="shared" si="2"/>
        <v>VZ&amp;PC Nautilus 15Miranda van Schaijk</v>
      </c>
      <c r="N5">
        <f t="shared" si="3"/>
        <v>0</v>
      </c>
      <c r="O5">
        <f t="shared" si="4"/>
        <v>50</v>
      </c>
      <c r="P5" t="str">
        <f t="shared" si="5"/>
        <v>Miranda van Schaijk</v>
      </c>
      <c r="Q5" t="str">
        <f t="shared" si="6"/>
        <v>VZ&amp;PC Nautilus 1</v>
      </c>
      <c r="R5">
        <f t="shared" si="7"/>
        <v>0</v>
      </c>
      <c r="S5">
        <f t="shared" si="8"/>
        <v>44</v>
      </c>
      <c r="T5" cm="1">
        <f t="array" ref="T5">SUMPRODUCT(($R$2:$R$91=R5)*($Q$2:$Q$91&gt;Q5))</f>
        <v>6</v>
      </c>
      <c r="U5" cm="1">
        <f t="array" ref="U5">SUMPRODUCT(($R$2:$R$91=R5)*($Q$2:$Q$91=Q5)*($P$2:$P$91&gt;P5))</f>
        <v>0</v>
      </c>
      <c r="V5" cm="1">
        <f t="array" ref="V5">SUMPRODUCT(($R$2:$R$91=R5)*($Q$2:$Q$91=Q5)*($P$2:$P$91=P5)*($W$2:$W$91&gt;W5))</f>
        <v>0</v>
      </c>
      <c r="W5">
        <v>4</v>
      </c>
      <c r="X5" t="str">
        <f t="shared" si="9"/>
        <v>Timo Hazelhoff</v>
      </c>
      <c r="Y5" t="str">
        <f t="shared" si="10"/>
        <v>De Tubanten 1</v>
      </c>
      <c r="Z5">
        <f t="shared" si="11"/>
        <v>8</v>
      </c>
    </row>
    <row r="6" spans="1:26" x14ac:dyDescent="0.3">
      <c r="A6" t="str">
        <f>Wedstrijden!$E$6</f>
        <v>VZ&amp;PC Nautilus 1</v>
      </c>
      <c r="B6">
        <f>'1'!B18:C18</f>
        <v>6</v>
      </c>
      <c r="C6" t="str">
        <f>HLOOKUP(A6,spelerslijsten!$B$1:$J$22,11,FALSE)</f>
        <v>Jan Zegers</v>
      </c>
      <c r="D6">
        <f>'1'!V18</f>
        <v>0</v>
      </c>
      <c r="F6" t="str">
        <f t="shared" si="0"/>
        <v>VZ&amp;PC Nautilus 16Jan Zegers</v>
      </c>
      <c r="G6">
        <f t="shared" si="1"/>
        <v>0</v>
      </c>
      <c r="J6" t="str">
        <f t="shared" si="12"/>
        <v>VZ&amp;PC Nautilus 1</v>
      </c>
      <c r="K6" s="1">
        <f>HLOOKUP(J6,spelerslijsten!$B$1:$J$22,12,FALSE)</f>
        <v>6</v>
      </c>
      <c r="L6" t="str">
        <f>HLOOKUP(J6,spelerslijsten!$B$1:$J$22,11,FALSE)</f>
        <v>Jan Zegers</v>
      </c>
      <c r="M6" t="str">
        <f t="shared" si="2"/>
        <v>VZ&amp;PC Nautilus 16Jan Zegers</v>
      </c>
      <c r="N6">
        <f t="shared" si="3"/>
        <v>1</v>
      </c>
      <c r="O6">
        <f t="shared" si="4"/>
        <v>36</v>
      </c>
      <c r="P6" t="str">
        <f t="shared" si="5"/>
        <v>Jan Zegers</v>
      </c>
      <c r="Q6" t="str">
        <f t="shared" si="6"/>
        <v>VZ&amp;PC Nautilus 1</v>
      </c>
      <c r="R6">
        <f t="shared" si="7"/>
        <v>1</v>
      </c>
      <c r="S6">
        <f t="shared" si="8"/>
        <v>32</v>
      </c>
      <c r="T6" cm="1">
        <f t="array" ref="T6">SUMPRODUCT(($R$2:$R$91=R6)*($Q$2:$Q$91&gt;Q6))</f>
        <v>3</v>
      </c>
      <c r="U6" cm="1">
        <f t="array" ref="U6">SUMPRODUCT(($R$2:$R$91=R6)*($Q$2:$Q$91=Q6)*($P$2:$P$91&gt;P6))</f>
        <v>1</v>
      </c>
      <c r="V6" cm="1">
        <f t="array" ref="V6">SUMPRODUCT(($R$2:$R$91=R6)*($Q$2:$Q$91=Q6)*($P$2:$P$91=P6)*($W$2:$W$91&gt;W6))</f>
        <v>0</v>
      </c>
      <c r="W6">
        <v>5</v>
      </c>
      <c r="X6" t="str">
        <f t="shared" si="9"/>
        <v>Jeffrey Danen</v>
      </c>
      <c r="Y6" t="str">
        <f t="shared" si="10"/>
        <v>VZ&amp;PC Nautilus 2</v>
      </c>
      <c r="Z6">
        <f t="shared" si="11"/>
        <v>6</v>
      </c>
    </row>
    <row r="7" spans="1:26" x14ac:dyDescent="0.3">
      <c r="A7" t="str">
        <f>Wedstrijden!$E$6</f>
        <v>VZ&amp;PC Nautilus 1</v>
      </c>
      <c r="B7">
        <f>'1'!B19:C19</f>
        <v>9</v>
      </c>
      <c r="C7" t="str">
        <f>HLOOKUP(A7,spelerslijsten!$B$1:$J$22,13,FALSE)</f>
        <v>Christian Gibbels</v>
      </c>
      <c r="D7">
        <f>'1'!V19</f>
        <v>2</v>
      </c>
      <c r="F7" t="str">
        <f t="shared" si="0"/>
        <v>VZ&amp;PC Nautilus 19Christian Gibbels</v>
      </c>
      <c r="G7">
        <f t="shared" si="1"/>
        <v>2</v>
      </c>
      <c r="J7" t="str">
        <f t="shared" si="12"/>
        <v>VZ&amp;PC Nautilus 1</v>
      </c>
      <c r="K7" s="1">
        <f>HLOOKUP(J7,spelerslijsten!$B$1:$J$22,14,FALSE)</f>
        <v>9</v>
      </c>
      <c r="L7" t="str">
        <f>HLOOKUP(J7,spelerslijsten!$B$1:$J$22,13,FALSE)</f>
        <v>Christian Gibbels</v>
      </c>
      <c r="M7" t="str">
        <f t="shared" si="2"/>
        <v>VZ&amp;PC Nautilus 19Christian Gibbels</v>
      </c>
      <c r="N7">
        <f t="shared" si="3"/>
        <v>4</v>
      </c>
      <c r="O7">
        <f t="shared" si="4"/>
        <v>14</v>
      </c>
      <c r="P7" t="str">
        <f t="shared" si="5"/>
        <v>Christian Gibbels</v>
      </c>
      <c r="Q7" t="str">
        <f t="shared" si="6"/>
        <v>VZ&amp;PC Nautilus 1</v>
      </c>
      <c r="R7">
        <f t="shared" si="7"/>
        <v>4</v>
      </c>
      <c r="S7">
        <f t="shared" si="8"/>
        <v>14</v>
      </c>
      <c r="T7" cm="1">
        <f t="array" ref="T7">SUMPRODUCT(($R$2:$R$91=R7)*($Q$2:$Q$91&gt;Q7))</f>
        <v>0</v>
      </c>
      <c r="U7" cm="1">
        <f t="array" ref="U7">SUMPRODUCT(($R$2:$R$91=R7)*($Q$2:$Q$91=Q7)*($P$2:$P$91&gt;P7))</f>
        <v>0</v>
      </c>
      <c r="V7" cm="1">
        <f t="array" ref="V7">SUMPRODUCT(($R$2:$R$91=R7)*($Q$2:$Q$91=Q7)*($P$2:$P$91=P7)*($W$2:$W$91&gt;W7))</f>
        <v>0</v>
      </c>
      <c r="W7">
        <v>6</v>
      </c>
      <c r="X7" t="str">
        <f t="shared" si="9"/>
        <v>Wout Reininga</v>
      </c>
      <c r="Y7" t="str">
        <f t="shared" si="10"/>
        <v>Gesposs Blauw</v>
      </c>
      <c r="Z7">
        <f t="shared" si="11"/>
        <v>6</v>
      </c>
    </row>
    <row r="8" spans="1:26" x14ac:dyDescent="0.3">
      <c r="A8" t="str">
        <f>Wedstrijden!$E$6</f>
        <v>VZ&amp;PC Nautilus 1</v>
      </c>
      <c r="B8">
        <f>'1'!B20:C20</f>
        <v>10</v>
      </c>
      <c r="C8" t="str">
        <f>HLOOKUP(A8,spelerslijsten!$B$1:$J$22,15,FALSE)</f>
        <v>Stefan van der Wielen</v>
      </c>
      <c r="D8">
        <f>'1'!V20</f>
        <v>2</v>
      </c>
      <c r="F8" t="str">
        <f t="shared" si="0"/>
        <v>VZ&amp;PC Nautilus 110Stefan van der Wielen</v>
      </c>
      <c r="G8">
        <f t="shared" si="1"/>
        <v>2</v>
      </c>
      <c r="J8" t="str">
        <f t="shared" si="12"/>
        <v>VZ&amp;PC Nautilus 1</v>
      </c>
      <c r="K8" s="1">
        <f>HLOOKUP(J8,spelerslijsten!$B$1:$J$22,16,FALSE)</f>
        <v>10</v>
      </c>
      <c r="L8" t="str">
        <f>HLOOKUP(J8,spelerslijsten!$B$1:$J$22,15,FALSE)</f>
        <v>Stefan van der Wielen</v>
      </c>
      <c r="M8" t="str">
        <f t="shared" si="2"/>
        <v>VZ&amp;PC Nautilus 110Stefan van der Wielen</v>
      </c>
      <c r="N8">
        <f t="shared" si="3"/>
        <v>2</v>
      </c>
      <c r="O8">
        <f t="shared" si="4"/>
        <v>26</v>
      </c>
      <c r="P8" t="str">
        <f t="shared" si="5"/>
        <v>Stefan van der Wielen</v>
      </c>
      <c r="Q8" t="str">
        <f t="shared" si="6"/>
        <v>VZ&amp;PC Nautilus 1</v>
      </c>
      <c r="R8">
        <f t="shared" si="7"/>
        <v>2</v>
      </c>
      <c r="S8">
        <f t="shared" si="8"/>
        <v>26</v>
      </c>
      <c r="T8" cm="1">
        <f t="array" ref="T8">SUMPRODUCT(($R$2:$R$91=R8)*($Q$2:$Q$91&gt;Q8))</f>
        <v>0</v>
      </c>
      <c r="U8" cm="1">
        <f t="array" ref="U8">SUMPRODUCT(($R$2:$R$91=R8)*($Q$2:$Q$91=Q8)*($P$2:$P$91&gt;P8))</f>
        <v>0</v>
      </c>
      <c r="V8" cm="1">
        <f t="array" ref="V8">SUMPRODUCT(($R$2:$R$91=R8)*($Q$2:$Q$91=Q8)*($P$2:$P$91=P8)*($W$2:$W$91&gt;W8))</f>
        <v>0</v>
      </c>
      <c r="W8">
        <v>7</v>
      </c>
      <c r="X8" t="str">
        <f t="shared" si="9"/>
        <v>Manon Dekkers</v>
      </c>
      <c r="Y8" t="str">
        <f t="shared" si="10"/>
        <v>Gesposs Blauw</v>
      </c>
      <c r="Z8">
        <f t="shared" si="11"/>
        <v>6</v>
      </c>
    </row>
    <row r="9" spans="1:26" x14ac:dyDescent="0.3">
      <c r="A9" t="str">
        <f>Wedstrijden!$E$6</f>
        <v>VZ&amp;PC Nautilus 1</v>
      </c>
      <c r="B9" t="str">
        <f>'1'!B21:C21</f>
        <v/>
      </c>
      <c r="C9">
        <f>HLOOKUP(A9,spelerslijsten!$B$1:$J$22,17,FALSE)</f>
        <v>0</v>
      </c>
      <c r="D9">
        <f>'1'!V21</f>
        <v>0</v>
      </c>
      <c r="F9" t="str">
        <f t="shared" si="0"/>
        <v>VZ&amp;PC Nautilus 10</v>
      </c>
      <c r="G9">
        <f t="shared" si="1"/>
        <v>0</v>
      </c>
      <c r="J9" t="str">
        <f t="shared" si="12"/>
        <v>VZ&amp;PC Nautilus 1</v>
      </c>
      <c r="K9" s="1">
        <f>HLOOKUP(J9,spelerslijsten!$B$1:$J$22,18,FALSE)</f>
        <v>0</v>
      </c>
      <c r="L9">
        <f>HLOOKUP(J9,spelerslijsten!$B$1:$J$22,17,FALSE)</f>
        <v>0</v>
      </c>
      <c r="M9" t="str">
        <f t="shared" si="2"/>
        <v>VZ&amp;PC Nautilus 100</v>
      </c>
      <c r="N9">
        <f t="shared" si="3"/>
        <v>0</v>
      </c>
      <c r="O9">
        <f t="shared" si="4"/>
        <v>53</v>
      </c>
      <c r="P9">
        <f t="shared" si="5"/>
        <v>0</v>
      </c>
      <c r="Q9" t="str">
        <f t="shared" si="6"/>
        <v>VZ&amp;PC Nautilus 1</v>
      </c>
      <c r="R9">
        <f t="shared" si="7"/>
        <v>0</v>
      </c>
      <c r="S9">
        <f t="shared" si="8"/>
        <v>44</v>
      </c>
      <c r="T9" cm="1">
        <f t="array" ref="T9">SUMPRODUCT(($R$2:$R$91=R9)*($Q$2:$Q$91&gt;Q9))</f>
        <v>6</v>
      </c>
      <c r="U9" cm="1">
        <f t="array" ref="U9">SUMPRODUCT(($R$2:$R$91=R9)*($Q$2:$Q$91=Q9)*($P$2:$P$91&gt;P9))</f>
        <v>1</v>
      </c>
      <c r="V9" cm="1">
        <f t="array" ref="V9">SUMPRODUCT(($R$2:$R$91=R9)*($Q$2:$Q$91=Q9)*($P$2:$P$91=P9)*($W$2:$W$91&gt;W9))</f>
        <v>2</v>
      </c>
      <c r="W9">
        <v>8</v>
      </c>
      <c r="X9" t="str">
        <f t="shared" si="9"/>
        <v>Siemen Pouwels</v>
      </c>
      <c r="Y9" t="str">
        <f t="shared" si="10"/>
        <v>Aqua Novio</v>
      </c>
      <c r="Z9">
        <f t="shared" si="11"/>
        <v>6</v>
      </c>
    </row>
    <row r="10" spans="1:26" x14ac:dyDescent="0.3">
      <c r="A10" t="str">
        <f>Wedstrijden!$E$6</f>
        <v>VZ&amp;PC Nautilus 1</v>
      </c>
      <c r="B10" t="str">
        <f>'1'!B22:C22</f>
        <v/>
      </c>
      <c r="C10">
        <f>HLOOKUP(A10,spelerslijsten!$B$1:$J$22,19,FALSE)</f>
        <v>0</v>
      </c>
      <c r="D10">
        <f>'1'!V22</f>
        <v>0</v>
      </c>
      <c r="F10" t="str">
        <f t="shared" si="0"/>
        <v>VZ&amp;PC Nautilus 10</v>
      </c>
      <c r="G10">
        <f t="shared" si="1"/>
        <v>0</v>
      </c>
      <c r="J10" t="str">
        <f t="shared" si="12"/>
        <v>VZ&amp;PC Nautilus 1</v>
      </c>
      <c r="K10" s="1">
        <f>HLOOKUP(J10,spelerslijsten!$B$1:$J$22,20,FALSE)</f>
        <v>0</v>
      </c>
      <c r="L10">
        <f>HLOOKUP(J10,spelerslijsten!$B$1:$J$22,19,FALSE)</f>
        <v>0</v>
      </c>
      <c r="M10" t="str">
        <f t="shared" si="2"/>
        <v>VZ&amp;PC Nautilus 100</v>
      </c>
      <c r="N10">
        <f t="shared" si="3"/>
        <v>0</v>
      </c>
      <c r="O10">
        <f t="shared" si="4"/>
        <v>52</v>
      </c>
      <c r="P10">
        <f t="shared" si="5"/>
        <v>0</v>
      </c>
      <c r="Q10" t="str">
        <f t="shared" si="6"/>
        <v>VZ&amp;PC Nautilus 1</v>
      </c>
      <c r="R10">
        <f t="shared" si="7"/>
        <v>0</v>
      </c>
      <c r="S10">
        <f t="shared" si="8"/>
        <v>44</v>
      </c>
      <c r="T10" cm="1">
        <f t="array" ref="T10">SUMPRODUCT(($R$2:$R$91=R10)*($Q$2:$Q$91&gt;Q10))</f>
        <v>6</v>
      </c>
      <c r="U10" cm="1">
        <f t="array" ref="U10">SUMPRODUCT(($R$2:$R$91=R10)*($Q$2:$Q$91=Q10)*($P$2:$P$91&gt;P10))</f>
        <v>1</v>
      </c>
      <c r="V10" cm="1">
        <f t="array" ref="V10">SUMPRODUCT(($R$2:$R$91=R10)*($Q$2:$Q$91=Q10)*($P$2:$P$91=P10)*($W$2:$W$91&gt;W10))</f>
        <v>1</v>
      </c>
      <c r="W10">
        <v>9</v>
      </c>
      <c r="X10" t="str">
        <f t="shared" si="9"/>
        <v>Maritz</v>
      </c>
      <c r="Y10" t="str">
        <f t="shared" si="10"/>
        <v>Aqua Novio</v>
      </c>
      <c r="Z10">
        <f t="shared" si="11"/>
        <v>6</v>
      </c>
    </row>
    <row r="11" spans="1:26" x14ac:dyDescent="0.3">
      <c r="A11" t="str">
        <f>Wedstrijden!$E$6</f>
        <v>VZ&amp;PC Nautilus 1</v>
      </c>
      <c r="B11" t="str">
        <f>'1'!B23:C23</f>
        <v/>
      </c>
      <c r="C11">
        <f>HLOOKUP(A11,spelerslijsten!$B$1:$J$22,21,FALSE)</f>
        <v>0</v>
      </c>
      <c r="D11">
        <f>'1'!V23</f>
        <v>0</v>
      </c>
      <c r="F11" t="str">
        <f t="shared" si="0"/>
        <v>VZ&amp;PC Nautilus 10</v>
      </c>
      <c r="G11">
        <f t="shared" si="1"/>
        <v>0</v>
      </c>
      <c r="J11" t="str">
        <f t="shared" si="12"/>
        <v>VZ&amp;PC Nautilus 1</v>
      </c>
      <c r="K11" s="1">
        <f>HLOOKUP(J11,spelerslijsten!$B$1:$J$22,22,FALSE)</f>
        <v>0</v>
      </c>
      <c r="L11">
        <f>HLOOKUP(J11,spelerslijsten!$B$1:$J$22,21,FALSE)</f>
        <v>0</v>
      </c>
      <c r="M11" t="str">
        <f t="shared" si="2"/>
        <v>VZ&amp;PC Nautilus 100</v>
      </c>
      <c r="N11">
        <f t="shared" si="3"/>
        <v>0</v>
      </c>
      <c r="O11">
        <f t="shared" si="4"/>
        <v>51</v>
      </c>
      <c r="P11">
        <f t="shared" si="5"/>
        <v>0</v>
      </c>
      <c r="Q11" t="str">
        <f t="shared" si="6"/>
        <v>VZ&amp;PC Nautilus 1</v>
      </c>
      <c r="R11">
        <f t="shared" si="7"/>
        <v>0</v>
      </c>
      <c r="S11">
        <f t="shared" si="8"/>
        <v>44</v>
      </c>
      <c r="T11" cm="1">
        <f t="array" ref="T11">SUMPRODUCT(($R$2:$R$91=R11)*($Q$2:$Q$91&gt;Q11))</f>
        <v>6</v>
      </c>
      <c r="U11" cm="1">
        <f t="array" ref="U11">SUMPRODUCT(($R$2:$R$91=R11)*($Q$2:$Q$91=Q11)*($P$2:$P$91&gt;P11))</f>
        <v>1</v>
      </c>
      <c r="V11" cm="1">
        <f t="array" ref="V11">SUMPRODUCT(($R$2:$R$91=R11)*($Q$2:$Q$91=Q11)*($P$2:$P$91=P11)*($W$2:$W$91&gt;W11))</f>
        <v>0</v>
      </c>
      <c r="W11">
        <v>10</v>
      </c>
      <c r="X11" t="str">
        <f t="shared" si="9"/>
        <v>Eef de Ruijter</v>
      </c>
      <c r="Y11" t="str">
        <f t="shared" si="10"/>
        <v>Gesposs Geel</v>
      </c>
      <c r="Z11">
        <f t="shared" si="11"/>
        <v>5</v>
      </c>
    </row>
    <row r="12" spans="1:26" x14ac:dyDescent="0.3">
      <c r="F12" t="str">
        <f t="shared" si="0"/>
        <v/>
      </c>
      <c r="G12">
        <f t="shared" si="1"/>
        <v>0</v>
      </c>
      <c r="O12">
        <f t="shared" si="4"/>
        <v>44</v>
      </c>
      <c r="P12" t="str">
        <f t="shared" ref="P12:P21" si="13">L13</f>
        <v>Willy van Grunsven</v>
      </c>
      <c r="Q12" t="str">
        <f t="shared" ref="Q12:Q21" si="14">J13</f>
        <v>VZ&amp;PC Nautilus 2</v>
      </c>
      <c r="R12">
        <f t="shared" ref="R12:R21" si="15">N13</f>
        <v>0</v>
      </c>
      <c r="S12">
        <f t="shared" si="8"/>
        <v>44</v>
      </c>
      <c r="T12" cm="1">
        <f t="array" ref="T12">SUMPRODUCT(($R$2:$R$91=R12)*($Q$2:$Q$91&gt;Q12))</f>
        <v>0</v>
      </c>
      <c r="U12" cm="1">
        <f t="array" ref="U12">SUMPRODUCT(($R$2:$R$91=R12)*($Q$2:$Q$91=Q12)*($P$2:$P$91&gt;P12))</f>
        <v>0</v>
      </c>
      <c r="V12" cm="1">
        <f t="array" ref="V12">SUMPRODUCT(($R$2:$R$91=R12)*($Q$2:$Q$91=Q12)*($P$2:$P$91=P12)*($W$2:$W$91&gt;W12))</f>
        <v>0</v>
      </c>
      <c r="W12">
        <v>11</v>
      </c>
      <c r="X12" t="str">
        <f t="shared" si="9"/>
        <v>Arjan Dulos</v>
      </c>
      <c r="Y12" t="str">
        <f t="shared" si="10"/>
        <v>Gesposs Geel</v>
      </c>
      <c r="Z12">
        <f t="shared" si="11"/>
        <v>5</v>
      </c>
    </row>
    <row r="13" spans="1:26" x14ac:dyDescent="0.3">
      <c r="A13" t="str">
        <f>Wedstrijden!$I$6</f>
        <v>RZ Roermond</v>
      </c>
      <c r="B13">
        <f>'1'!B30:C30</f>
        <v>3</v>
      </c>
      <c r="C13" t="str">
        <f>HLOOKUP(A13,spelerslijsten!$B$1:$J$22,3,FALSE)</f>
        <v>Helga Addink</v>
      </c>
      <c r="D13">
        <f>'1'!V30</f>
        <v>0</v>
      </c>
      <c r="F13" t="str">
        <f t="shared" si="0"/>
        <v>RZ Roermond3Helga Addink</v>
      </c>
      <c r="G13">
        <f t="shared" si="1"/>
        <v>0</v>
      </c>
      <c r="J13" t="str">
        <f>spelerslijsten!C1</f>
        <v>VZ&amp;PC Nautilus 2</v>
      </c>
      <c r="K13" s="1">
        <f>HLOOKUP(J13,spelerslijsten!$B$1:$J$22,4,FALSE)</f>
        <v>2</v>
      </c>
      <c r="L13" t="str">
        <f>HLOOKUP(J13,spelerslijsten!$B$1:$J$22,3,FALSE)</f>
        <v>Willy van Grunsven</v>
      </c>
      <c r="M13" t="str">
        <f t="shared" si="2"/>
        <v>VZ&amp;PC Nautilus 22Willy van Grunsven</v>
      </c>
      <c r="N13">
        <f t="shared" si="3"/>
        <v>0</v>
      </c>
      <c r="O13">
        <f t="shared" si="4"/>
        <v>45</v>
      </c>
      <c r="P13" t="str">
        <f t="shared" si="13"/>
        <v>Manuel Bastiaans</v>
      </c>
      <c r="Q13" t="str">
        <f t="shared" si="14"/>
        <v>VZ&amp;PC Nautilus 2</v>
      </c>
      <c r="R13">
        <f t="shared" si="15"/>
        <v>0</v>
      </c>
      <c r="S13">
        <f t="shared" si="8"/>
        <v>44</v>
      </c>
      <c r="T13" cm="1">
        <f t="array" ref="T13">SUMPRODUCT(($R$2:$R$91=R13)*($Q$2:$Q$91&gt;Q13))</f>
        <v>0</v>
      </c>
      <c r="U13" cm="1">
        <f t="array" ref="U13">SUMPRODUCT(($R$2:$R$91=R13)*($Q$2:$Q$91=Q13)*($P$2:$P$91&gt;P13))</f>
        <v>1</v>
      </c>
      <c r="V13" cm="1">
        <f t="array" ref="V13">SUMPRODUCT(($R$2:$R$91=R13)*($Q$2:$Q$91=Q13)*($P$2:$P$91=P13)*($W$2:$W$91&gt;W13))</f>
        <v>0</v>
      </c>
      <c r="W13">
        <v>12</v>
      </c>
      <c r="X13" t="str">
        <f t="shared" si="9"/>
        <v>Noah Hazelhoff</v>
      </c>
      <c r="Y13" t="str">
        <f t="shared" si="10"/>
        <v>De Tubanten 2</v>
      </c>
      <c r="Z13">
        <f t="shared" si="11"/>
        <v>5</v>
      </c>
    </row>
    <row r="14" spans="1:26" x14ac:dyDescent="0.3">
      <c r="A14" t="str">
        <f>Wedstrijden!$I$6</f>
        <v>RZ Roermond</v>
      </c>
      <c r="B14">
        <f>'1'!B31:C31</f>
        <v>4</v>
      </c>
      <c r="C14" t="str">
        <f>HLOOKUP(A14,spelerslijsten!$B$1:$J$22,5,FALSE)</f>
        <v>Werner Dudek</v>
      </c>
      <c r="D14">
        <f>'1'!V31</f>
        <v>0</v>
      </c>
      <c r="F14" t="str">
        <f t="shared" si="0"/>
        <v>RZ Roermond4Werner Dudek</v>
      </c>
      <c r="G14">
        <f t="shared" si="1"/>
        <v>0</v>
      </c>
      <c r="J14" t="str">
        <f>J13</f>
        <v>VZ&amp;PC Nautilus 2</v>
      </c>
      <c r="K14" s="1">
        <f>HLOOKUP(J14,spelerslijsten!$B$1:$J$22,6,FALSE)</f>
        <v>3</v>
      </c>
      <c r="L14" t="str">
        <f>HLOOKUP(J14,spelerslijsten!$B$1:$J$22,5,FALSE)</f>
        <v>Manuel Bastiaans</v>
      </c>
      <c r="M14" t="str">
        <f t="shared" si="2"/>
        <v>VZ&amp;PC Nautilus 23Manuel Bastiaans</v>
      </c>
      <c r="N14">
        <f t="shared" si="3"/>
        <v>0</v>
      </c>
      <c r="O14">
        <f t="shared" si="4"/>
        <v>34</v>
      </c>
      <c r="P14" t="str">
        <f t="shared" si="13"/>
        <v>Marga Schouten</v>
      </c>
      <c r="Q14" t="str">
        <f t="shared" si="14"/>
        <v>VZ&amp;PC Nautilus 2</v>
      </c>
      <c r="R14">
        <f t="shared" si="15"/>
        <v>1</v>
      </c>
      <c r="S14">
        <f t="shared" si="8"/>
        <v>32</v>
      </c>
      <c r="T14" cm="1">
        <f t="array" ref="T14">SUMPRODUCT(($R$2:$R$91=R14)*($Q$2:$Q$91&gt;Q14))</f>
        <v>0</v>
      </c>
      <c r="U14" cm="1">
        <f t="array" ref="U14">SUMPRODUCT(($R$2:$R$91=R14)*($Q$2:$Q$91=Q14)*($P$2:$P$91&gt;P14))</f>
        <v>2</v>
      </c>
      <c r="V14" cm="1">
        <f t="array" ref="V14">SUMPRODUCT(($R$2:$R$91=R14)*($Q$2:$Q$91=Q14)*($P$2:$P$91=P14)*($W$2:$W$91&gt;W14))</f>
        <v>0</v>
      </c>
      <c r="W14">
        <v>13</v>
      </c>
      <c r="X14" t="str">
        <f t="shared" si="9"/>
        <v>Mike Regtop</v>
      </c>
      <c r="Y14" t="str">
        <f t="shared" si="10"/>
        <v>De Tubanten 1</v>
      </c>
      <c r="Z14">
        <f t="shared" si="11"/>
        <v>5</v>
      </c>
    </row>
    <row r="15" spans="1:26" x14ac:dyDescent="0.3">
      <c r="A15" t="str">
        <f>Wedstrijden!$I$6</f>
        <v>RZ Roermond</v>
      </c>
      <c r="B15">
        <f>'1'!B32:C32</f>
        <v>5</v>
      </c>
      <c r="C15" t="str">
        <f>HLOOKUP(A15,spelerslijsten!$B$1:$J$22,7,FALSE)</f>
        <v>Luc Mulder</v>
      </c>
      <c r="D15">
        <f>'1'!V32</f>
        <v>0</v>
      </c>
      <c r="F15" t="str">
        <f t="shared" si="0"/>
        <v>RZ Roermond5Luc Mulder</v>
      </c>
      <c r="G15">
        <f t="shared" si="1"/>
        <v>0</v>
      </c>
      <c r="J15" t="str">
        <f t="shared" ref="J15:J22" si="16">J14</f>
        <v>VZ&amp;PC Nautilus 2</v>
      </c>
      <c r="K15" s="1">
        <f>HLOOKUP(J15,spelerslijsten!$B$1:$J$22,8,FALSE)</f>
        <v>4</v>
      </c>
      <c r="L15" t="str">
        <f>HLOOKUP(J15,spelerslijsten!$B$1:$J$22,7,FALSE)</f>
        <v>Marga Schouten</v>
      </c>
      <c r="M15" t="str">
        <f t="shared" si="2"/>
        <v>VZ&amp;PC Nautilus 24Marga Schouten</v>
      </c>
      <c r="N15">
        <f t="shared" si="3"/>
        <v>1</v>
      </c>
      <c r="O15">
        <f t="shared" si="4"/>
        <v>46</v>
      </c>
      <c r="P15" t="str">
        <f t="shared" si="13"/>
        <v>Anja Braken</v>
      </c>
      <c r="Q15" t="str">
        <f t="shared" si="14"/>
        <v>VZ&amp;PC Nautilus 2</v>
      </c>
      <c r="R15">
        <f t="shared" si="15"/>
        <v>0</v>
      </c>
      <c r="S15">
        <f t="shared" si="8"/>
        <v>44</v>
      </c>
      <c r="T15" cm="1">
        <f t="array" ref="T15">SUMPRODUCT(($R$2:$R$91=R15)*($Q$2:$Q$91&gt;Q15))</f>
        <v>0</v>
      </c>
      <c r="U15" cm="1">
        <f t="array" ref="U15">SUMPRODUCT(($R$2:$R$91=R15)*($Q$2:$Q$91=Q15)*($P$2:$P$91&gt;P15))</f>
        <v>2</v>
      </c>
      <c r="V15" cm="1">
        <f t="array" ref="V15">SUMPRODUCT(($R$2:$R$91=R15)*($Q$2:$Q$91=Q15)*($P$2:$P$91=P15)*($W$2:$W$91&gt;W15))</f>
        <v>0</v>
      </c>
      <c r="W15">
        <v>14</v>
      </c>
      <c r="X15" t="str">
        <f t="shared" si="9"/>
        <v>Christian Gibbels</v>
      </c>
      <c r="Y15" t="str">
        <f t="shared" si="10"/>
        <v>VZ&amp;PC Nautilus 1</v>
      </c>
      <c r="Z15">
        <f t="shared" si="11"/>
        <v>4</v>
      </c>
    </row>
    <row r="16" spans="1:26" x14ac:dyDescent="0.3">
      <c r="A16" t="str">
        <f>Wedstrijden!$I$6</f>
        <v>RZ Roermond</v>
      </c>
      <c r="B16">
        <f>'1'!B33:C33</f>
        <v>7</v>
      </c>
      <c r="C16" t="str">
        <f>HLOOKUP(A16,spelerslijsten!$B$1:$J$22,9,FALSE)</f>
        <v>Ties Bouten</v>
      </c>
      <c r="D16">
        <f>'1'!V33</f>
        <v>0</v>
      </c>
      <c r="F16" t="str">
        <f t="shared" si="0"/>
        <v>RZ Roermond7Ties Bouten</v>
      </c>
      <c r="G16">
        <f t="shared" si="1"/>
        <v>0</v>
      </c>
      <c r="J16" t="str">
        <f t="shared" si="16"/>
        <v>VZ&amp;PC Nautilus 2</v>
      </c>
      <c r="K16" s="1">
        <f>HLOOKUP(J16,spelerslijsten!$B$1:$J$22,10,FALSE)</f>
        <v>6</v>
      </c>
      <c r="L16" t="str">
        <f>HLOOKUP(J16,spelerslijsten!$B$1:$J$22,9,FALSE)</f>
        <v>Anja Braken</v>
      </c>
      <c r="M16" t="str">
        <f t="shared" si="2"/>
        <v>VZ&amp;PC Nautilus 26Anja Braken</v>
      </c>
      <c r="N16">
        <f t="shared" si="3"/>
        <v>0</v>
      </c>
      <c r="O16">
        <f t="shared" si="4"/>
        <v>33</v>
      </c>
      <c r="P16" t="str">
        <f t="shared" si="13"/>
        <v>Mieke van Gerwen</v>
      </c>
      <c r="Q16" t="str">
        <f t="shared" si="14"/>
        <v>VZ&amp;PC Nautilus 2</v>
      </c>
      <c r="R16">
        <f t="shared" si="15"/>
        <v>1</v>
      </c>
      <c r="S16">
        <f t="shared" si="8"/>
        <v>32</v>
      </c>
      <c r="T16" cm="1">
        <f t="array" ref="T16">SUMPRODUCT(($R$2:$R$91=R16)*($Q$2:$Q$91&gt;Q16))</f>
        <v>0</v>
      </c>
      <c r="U16" cm="1">
        <f t="array" ref="U16">SUMPRODUCT(($R$2:$R$91=R16)*($Q$2:$Q$91=Q16)*($P$2:$P$91&gt;P16))</f>
        <v>1</v>
      </c>
      <c r="V16" cm="1">
        <f t="array" ref="V16">SUMPRODUCT(($R$2:$R$91=R16)*($Q$2:$Q$91=Q16)*($P$2:$P$91=P16)*($W$2:$W$91&gt;W16))</f>
        <v>0</v>
      </c>
      <c r="W16">
        <v>15</v>
      </c>
      <c r="X16" t="str">
        <f t="shared" si="9"/>
        <v>Helmi van Hirtum</v>
      </c>
      <c r="Y16" t="str">
        <f t="shared" si="10"/>
        <v>SVG Den Bosch</v>
      </c>
      <c r="Z16">
        <f t="shared" si="11"/>
        <v>4</v>
      </c>
    </row>
    <row r="17" spans="1:26" x14ac:dyDescent="0.3">
      <c r="A17" t="str">
        <f>Wedstrijden!$I$6</f>
        <v>RZ Roermond</v>
      </c>
      <c r="B17">
        <f>'1'!B34:C34</f>
        <v>9</v>
      </c>
      <c r="C17" t="str">
        <f>HLOOKUP(A17,spelerslijsten!$B$1:$J$22,11,FALSE)</f>
        <v>Wilma van Helden</v>
      </c>
      <c r="D17">
        <f>'1'!V34</f>
        <v>2</v>
      </c>
      <c r="F17" t="str">
        <f t="shared" si="0"/>
        <v>RZ Roermond9Wilma van Helden</v>
      </c>
      <c r="G17">
        <f t="shared" si="1"/>
        <v>2</v>
      </c>
      <c r="J17" t="str">
        <f t="shared" si="16"/>
        <v>VZ&amp;PC Nautilus 2</v>
      </c>
      <c r="K17" s="1">
        <f>HLOOKUP(J17,spelerslijsten!$B$1:$J$22,12,FALSE)</f>
        <v>7</v>
      </c>
      <c r="L17" t="str">
        <f>HLOOKUP(J17,spelerslijsten!$B$1:$J$22,11,FALSE)</f>
        <v>Mieke van Gerwen</v>
      </c>
      <c r="M17" t="str">
        <f t="shared" si="2"/>
        <v>VZ&amp;PC Nautilus 27Mieke van Gerwen</v>
      </c>
      <c r="N17">
        <f t="shared" si="3"/>
        <v>1</v>
      </c>
      <c r="O17">
        <f t="shared" si="4"/>
        <v>32</v>
      </c>
      <c r="P17" t="str">
        <f t="shared" si="13"/>
        <v>Susan van Wanrooy</v>
      </c>
      <c r="Q17" t="str">
        <f t="shared" si="14"/>
        <v>VZ&amp;PC Nautilus 2</v>
      </c>
      <c r="R17">
        <f t="shared" si="15"/>
        <v>1</v>
      </c>
      <c r="S17">
        <f t="shared" si="8"/>
        <v>32</v>
      </c>
      <c r="T17" cm="1">
        <f t="array" ref="T17">SUMPRODUCT(($R$2:$R$91=R17)*($Q$2:$Q$91&gt;Q17))</f>
        <v>0</v>
      </c>
      <c r="U17" cm="1">
        <f t="array" ref="U17">SUMPRODUCT(($R$2:$R$91=R17)*($Q$2:$Q$91=Q17)*($P$2:$P$91&gt;P17))</f>
        <v>0</v>
      </c>
      <c r="V17" cm="1">
        <f t="array" ref="V17">SUMPRODUCT(($R$2:$R$91=R17)*($Q$2:$Q$91=Q17)*($P$2:$P$91=P17)*($W$2:$W$91&gt;W17))</f>
        <v>0</v>
      </c>
      <c r="W17">
        <v>16</v>
      </c>
      <c r="X17" t="str">
        <f t="shared" si="9"/>
        <v>Leon Bijker</v>
      </c>
      <c r="Y17" t="str">
        <f t="shared" si="10"/>
        <v>De Tubanten 2</v>
      </c>
      <c r="Z17">
        <f t="shared" si="11"/>
        <v>4</v>
      </c>
    </row>
    <row r="18" spans="1:26" x14ac:dyDescent="0.3">
      <c r="A18" t="str">
        <f>Wedstrijden!$I$6</f>
        <v>RZ Roermond</v>
      </c>
      <c r="B18">
        <f>'1'!B35:C35</f>
        <v>11</v>
      </c>
      <c r="C18" t="str">
        <f>HLOOKUP(A18,spelerslijsten!$B$1:$J$22,13,FALSE)</f>
        <v>Sonja Bouten</v>
      </c>
      <c r="D18">
        <f>'1'!V35</f>
        <v>0</v>
      </c>
      <c r="F18" t="str">
        <f t="shared" si="0"/>
        <v>RZ Roermond11Sonja Bouten</v>
      </c>
      <c r="G18">
        <f t="shared" si="1"/>
        <v>0</v>
      </c>
      <c r="J18" t="str">
        <f t="shared" si="16"/>
        <v>VZ&amp;PC Nautilus 2</v>
      </c>
      <c r="K18" s="1">
        <f>HLOOKUP(J18,spelerslijsten!$B$1:$J$22,14,FALSE)</f>
        <v>8</v>
      </c>
      <c r="L18" t="str">
        <f>HLOOKUP(J18,spelerslijsten!$B$1:$J$22,13,FALSE)</f>
        <v>Susan van Wanrooy</v>
      </c>
      <c r="M18" t="str">
        <f t="shared" si="2"/>
        <v>VZ&amp;PC Nautilus 28Susan van Wanrooy</v>
      </c>
      <c r="N18">
        <f t="shared" si="3"/>
        <v>1</v>
      </c>
      <c r="O18">
        <f t="shared" si="4"/>
        <v>5</v>
      </c>
      <c r="P18" t="str">
        <f t="shared" si="13"/>
        <v>Jeffrey Danen</v>
      </c>
      <c r="Q18" t="str">
        <f t="shared" si="14"/>
        <v>VZ&amp;PC Nautilus 2</v>
      </c>
      <c r="R18">
        <f t="shared" si="15"/>
        <v>6</v>
      </c>
      <c r="S18">
        <f t="shared" si="8"/>
        <v>5</v>
      </c>
      <c r="T18" cm="1">
        <f t="array" ref="T18">SUMPRODUCT(($R$2:$R$91=R18)*($Q$2:$Q$91&gt;Q18))</f>
        <v>0</v>
      </c>
      <c r="U18" cm="1">
        <f t="array" ref="U18">SUMPRODUCT(($R$2:$R$91=R18)*($Q$2:$Q$91=Q18)*($P$2:$P$91&gt;P18))</f>
        <v>0</v>
      </c>
      <c r="V18" cm="1">
        <f t="array" ref="V18">SUMPRODUCT(($R$2:$R$91=R18)*($Q$2:$Q$91=Q18)*($P$2:$P$91=P18)*($W$2:$W$91&gt;W18))</f>
        <v>0</v>
      </c>
      <c r="W18">
        <v>17</v>
      </c>
      <c r="X18" t="str">
        <f t="shared" si="9"/>
        <v>Precilla Beune</v>
      </c>
      <c r="Y18" t="str">
        <f t="shared" si="10"/>
        <v>De Tubanten 1</v>
      </c>
      <c r="Z18">
        <f t="shared" si="11"/>
        <v>4</v>
      </c>
    </row>
    <row r="19" spans="1:26" x14ac:dyDescent="0.3">
      <c r="A19" t="str">
        <f>Wedstrijden!$I$6</f>
        <v>RZ Roermond</v>
      </c>
      <c r="B19">
        <f>'1'!B36:C36</f>
        <v>12</v>
      </c>
      <c r="C19" t="str">
        <f>HLOOKUP(A19,spelerslijsten!$B$1:$J$22,15,FALSE)</f>
        <v>Hans Reijnders (leen)</v>
      </c>
      <c r="D19">
        <f>'1'!V36</f>
        <v>0</v>
      </c>
      <c r="F19" t="str">
        <f t="shared" si="0"/>
        <v>RZ Roermond12Hans Reijnders (leen)</v>
      </c>
      <c r="G19">
        <f t="shared" si="1"/>
        <v>0</v>
      </c>
      <c r="J19" t="str">
        <f t="shared" si="16"/>
        <v>VZ&amp;PC Nautilus 2</v>
      </c>
      <c r="K19" s="1">
        <f>HLOOKUP(J19,spelerslijsten!$B$1:$J$22,16,FALSE)</f>
        <v>10</v>
      </c>
      <c r="L19" t="str">
        <f>HLOOKUP(J19,spelerslijsten!$B$1:$J$22,15,FALSE)</f>
        <v>Jeffrey Danen</v>
      </c>
      <c r="M19" t="str">
        <f t="shared" si="2"/>
        <v>VZ&amp;PC Nautilus 210Jeffrey Danen</v>
      </c>
      <c r="N19">
        <f t="shared" si="3"/>
        <v>6</v>
      </c>
      <c r="O19">
        <f t="shared" si="4"/>
        <v>49</v>
      </c>
      <c r="P19">
        <f t="shared" si="13"/>
        <v>0</v>
      </c>
      <c r="Q19" t="str">
        <f t="shared" si="14"/>
        <v>VZ&amp;PC Nautilus 2</v>
      </c>
      <c r="R19">
        <f t="shared" si="15"/>
        <v>0</v>
      </c>
      <c r="S19">
        <f t="shared" si="8"/>
        <v>44</v>
      </c>
      <c r="T19" cm="1">
        <f t="array" ref="T19">SUMPRODUCT(($R$2:$R$91=R19)*($Q$2:$Q$91&gt;Q19))</f>
        <v>0</v>
      </c>
      <c r="U19" cm="1">
        <f t="array" ref="U19">SUMPRODUCT(($R$2:$R$91=R19)*($Q$2:$Q$91=Q19)*($P$2:$P$91&gt;P19))</f>
        <v>3</v>
      </c>
      <c r="V19" cm="1">
        <f t="array" ref="V19">SUMPRODUCT(($R$2:$R$91=R19)*($Q$2:$Q$91=Q19)*($P$2:$P$91=P19)*($W$2:$W$91&gt;W19))</f>
        <v>2</v>
      </c>
      <c r="W19">
        <v>18</v>
      </c>
      <c r="X19" t="str">
        <f t="shared" si="9"/>
        <v>Liam Williams</v>
      </c>
      <c r="Y19" t="str">
        <f t="shared" si="10"/>
        <v>De Tubanten 1</v>
      </c>
      <c r="Z19">
        <f t="shared" si="11"/>
        <v>4</v>
      </c>
    </row>
    <row r="20" spans="1:26" x14ac:dyDescent="0.3">
      <c r="A20" t="str">
        <f>Wedstrijden!$I$6</f>
        <v>RZ Roermond</v>
      </c>
      <c r="B20" t="str">
        <f>'1'!B37:C37</f>
        <v/>
      </c>
      <c r="C20">
        <f>HLOOKUP(A20,spelerslijsten!$B$1:$J$22,17,FALSE)</f>
        <v>0</v>
      </c>
      <c r="D20">
        <f>'1'!V37</f>
        <v>0</v>
      </c>
      <c r="F20" t="str">
        <f t="shared" si="0"/>
        <v>RZ Roermond0</v>
      </c>
      <c r="G20">
        <f t="shared" si="1"/>
        <v>0</v>
      </c>
      <c r="J20" t="str">
        <f t="shared" si="16"/>
        <v>VZ&amp;PC Nautilus 2</v>
      </c>
      <c r="K20" s="1">
        <f>HLOOKUP(J20,spelerslijsten!$B$1:$J$22,18,FALSE)</f>
        <v>0</v>
      </c>
      <c r="L20">
        <f>HLOOKUP(J20,spelerslijsten!$B$1:$J$22,17,FALSE)</f>
        <v>0</v>
      </c>
      <c r="M20" t="str">
        <f t="shared" si="2"/>
        <v>VZ&amp;PC Nautilus 200</v>
      </c>
      <c r="N20">
        <f t="shared" si="3"/>
        <v>0</v>
      </c>
      <c r="O20">
        <f t="shared" si="4"/>
        <v>48</v>
      </c>
      <c r="P20">
        <f t="shared" si="13"/>
        <v>0</v>
      </c>
      <c r="Q20" t="str">
        <f t="shared" si="14"/>
        <v>VZ&amp;PC Nautilus 2</v>
      </c>
      <c r="R20">
        <f t="shared" si="15"/>
        <v>0</v>
      </c>
      <c r="S20">
        <f t="shared" si="8"/>
        <v>44</v>
      </c>
      <c r="T20" cm="1">
        <f t="array" ref="T20">SUMPRODUCT(($R$2:$R$91=R20)*($Q$2:$Q$91&gt;Q20))</f>
        <v>0</v>
      </c>
      <c r="U20" cm="1">
        <f t="array" ref="U20">SUMPRODUCT(($R$2:$R$91=R20)*($Q$2:$Q$91=Q20)*($P$2:$P$91&gt;P20))</f>
        <v>3</v>
      </c>
      <c r="V20" cm="1">
        <f t="array" ref="V20">SUMPRODUCT(($R$2:$R$91=R20)*($Q$2:$Q$91=Q20)*($P$2:$P$91=P20)*($W$2:$W$91&gt;W20))</f>
        <v>1</v>
      </c>
      <c r="W20">
        <v>19</v>
      </c>
      <c r="X20" t="str">
        <f t="shared" si="9"/>
        <v>Kevin Kanters</v>
      </c>
      <c r="Y20" t="str">
        <f t="shared" si="10"/>
        <v>VZ&amp;PC Nautilus 1</v>
      </c>
      <c r="Z20">
        <f t="shared" si="11"/>
        <v>3</v>
      </c>
    </row>
    <row r="21" spans="1:26" x14ac:dyDescent="0.3">
      <c r="A21" t="str">
        <f>Wedstrijden!$I$6</f>
        <v>RZ Roermond</v>
      </c>
      <c r="B21" t="str">
        <f>'1'!B38:C38</f>
        <v/>
      </c>
      <c r="C21">
        <f>HLOOKUP(A21,spelerslijsten!$B$1:$J$22,19,FALSE)</f>
        <v>0</v>
      </c>
      <c r="D21">
        <f>'1'!V38</f>
        <v>0</v>
      </c>
      <c r="F21" t="str">
        <f t="shared" si="0"/>
        <v>RZ Roermond0</v>
      </c>
      <c r="G21">
        <f t="shared" si="1"/>
        <v>0</v>
      </c>
      <c r="J21" t="str">
        <f t="shared" si="16"/>
        <v>VZ&amp;PC Nautilus 2</v>
      </c>
      <c r="K21" s="1">
        <f>HLOOKUP(J21,spelerslijsten!$B$1:$J$22,20,FALSE)</f>
        <v>0</v>
      </c>
      <c r="L21">
        <f>HLOOKUP(J21,spelerslijsten!$B$1:$J$22,19,FALSE)</f>
        <v>0</v>
      </c>
      <c r="M21" t="str">
        <f t="shared" si="2"/>
        <v>VZ&amp;PC Nautilus 200</v>
      </c>
      <c r="N21">
        <f t="shared" si="3"/>
        <v>0</v>
      </c>
      <c r="O21">
        <f t="shared" si="4"/>
        <v>47</v>
      </c>
      <c r="P21">
        <f t="shared" si="13"/>
        <v>0</v>
      </c>
      <c r="Q21" t="str">
        <f t="shared" si="14"/>
        <v>VZ&amp;PC Nautilus 2</v>
      </c>
      <c r="R21">
        <f t="shared" si="15"/>
        <v>0</v>
      </c>
      <c r="S21">
        <f t="shared" si="8"/>
        <v>44</v>
      </c>
      <c r="T21" cm="1">
        <f t="array" ref="T21">SUMPRODUCT(($R$2:$R$91=R21)*($Q$2:$Q$91&gt;Q21))</f>
        <v>0</v>
      </c>
      <c r="U21" cm="1">
        <f t="array" ref="U21">SUMPRODUCT(($R$2:$R$91=R21)*($Q$2:$Q$91=Q21)*($P$2:$P$91&gt;P21))</f>
        <v>3</v>
      </c>
      <c r="V21" cm="1">
        <f t="array" ref="V21">SUMPRODUCT(($R$2:$R$91=R21)*($Q$2:$Q$91=Q21)*($P$2:$P$91=P21)*($W$2:$W$91&gt;W21))</f>
        <v>0</v>
      </c>
      <c r="W21">
        <v>20</v>
      </c>
      <c r="X21" t="str">
        <f t="shared" si="9"/>
        <v>Corne Braken</v>
      </c>
      <c r="Y21" t="str">
        <f t="shared" si="10"/>
        <v>VZ&amp;PC Nautilus 1</v>
      </c>
      <c r="Z21">
        <f t="shared" si="11"/>
        <v>3</v>
      </c>
    </row>
    <row r="22" spans="1:26" x14ac:dyDescent="0.3">
      <c r="A22" t="str">
        <f>Wedstrijden!$I$6</f>
        <v>RZ Roermond</v>
      </c>
      <c r="B22" t="str">
        <f>'1'!B39:C39</f>
        <v/>
      </c>
      <c r="C22">
        <f>HLOOKUP(A22,spelerslijsten!$B$1:$J$22,21,FALSE)</f>
        <v>0</v>
      </c>
      <c r="D22">
        <f>'1'!V39</f>
        <v>0</v>
      </c>
      <c r="F22" t="str">
        <f t="shared" si="0"/>
        <v>RZ Roermond0</v>
      </c>
      <c r="G22">
        <f t="shared" si="1"/>
        <v>0</v>
      </c>
      <c r="J22" t="str">
        <f t="shared" si="16"/>
        <v>VZ&amp;PC Nautilus 2</v>
      </c>
      <c r="K22" s="1">
        <f>HLOOKUP(J22,spelerslijsten!$B$1:$J$22,22,FALSE)</f>
        <v>0</v>
      </c>
      <c r="L22">
        <f>HLOOKUP(J22,spelerslijsten!$B$1:$J$22,21,FALSE)</f>
        <v>0</v>
      </c>
      <c r="M22" t="str">
        <f t="shared" si="2"/>
        <v>VZ&amp;PC Nautilus 200</v>
      </c>
      <c r="N22">
        <f t="shared" si="3"/>
        <v>0</v>
      </c>
      <c r="O22">
        <f t="shared" si="4"/>
        <v>58</v>
      </c>
      <c r="P22" t="str">
        <f t="shared" ref="P22:P31" si="17">L24</f>
        <v>Helga Addink</v>
      </c>
      <c r="Q22" t="str">
        <f t="shared" ref="Q22:Q31" si="18">J24</f>
        <v>RZ Roermond</v>
      </c>
      <c r="R22">
        <f t="shared" ref="R22:R31" si="19">N24</f>
        <v>0</v>
      </c>
      <c r="S22">
        <f t="shared" si="8"/>
        <v>44</v>
      </c>
      <c r="T22" cm="1">
        <f t="array" ref="T22">SUMPRODUCT(($R$2:$R$91=R22)*($Q$2:$Q$91&gt;Q22))</f>
        <v>13</v>
      </c>
      <c r="U22" cm="1">
        <f t="array" ref="U22">SUMPRODUCT(($R$2:$R$91=R22)*($Q$2:$Q$91=Q22)*($P$2:$P$91&gt;P22))</f>
        <v>1</v>
      </c>
      <c r="V22" cm="1">
        <f t="array" ref="V22">SUMPRODUCT(($R$2:$R$91=R22)*($Q$2:$Q$91=Q22)*($P$2:$P$91=P22)*($W$2:$W$91&gt;W22))</f>
        <v>0</v>
      </c>
      <c r="W22">
        <v>21</v>
      </c>
      <c r="X22" t="str">
        <f t="shared" si="9"/>
        <v>Jurriaan Rijnaars</v>
      </c>
      <c r="Y22" t="str">
        <f t="shared" si="10"/>
        <v>SVG Den Bosch</v>
      </c>
      <c r="Z22">
        <f t="shared" si="11"/>
        <v>3</v>
      </c>
    </row>
    <row r="23" spans="1:26" x14ac:dyDescent="0.3">
      <c r="A23" t="s">
        <v>81</v>
      </c>
      <c r="F23" t="str">
        <f t="shared" si="0"/>
        <v>Wed 2</v>
      </c>
      <c r="G23">
        <f t="shared" si="1"/>
        <v>0</v>
      </c>
      <c r="O23">
        <f t="shared" si="4"/>
        <v>28</v>
      </c>
      <c r="P23" t="str">
        <f t="shared" si="17"/>
        <v>Werner Dudek</v>
      </c>
      <c r="Q23" t="str">
        <f t="shared" si="18"/>
        <v>RZ Roermond</v>
      </c>
      <c r="R23">
        <f t="shared" si="19"/>
        <v>2</v>
      </c>
      <c r="S23">
        <f t="shared" si="8"/>
        <v>26</v>
      </c>
      <c r="T23" cm="1">
        <f t="array" ref="T23">SUMPRODUCT(($R$2:$R$91=R23)*($Q$2:$Q$91&gt;Q23))</f>
        <v>2</v>
      </c>
      <c r="U23" cm="1">
        <f t="array" ref="U23">SUMPRODUCT(($R$2:$R$91=R23)*($Q$2:$Q$91=Q23)*($P$2:$P$91&gt;P23))</f>
        <v>0</v>
      </c>
      <c r="V23" cm="1">
        <f t="array" ref="V23">SUMPRODUCT(($R$2:$R$91=R23)*($Q$2:$Q$91=Q23)*($P$2:$P$91=P23)*($W$2:$W$91&gt;W23))</f>
        <v>0</v>
      </c>
      <c r="W23">
        <v>22</v>
      </c>
      <c r="X23" t="str">
        <f t="shared" si="9"/>
        <v>Ties Bouten</v>
      </c>
      <c r="Y23" t="str">
        <f t="shared" si="10"/>
        <v>RZ Roermond</v>
      </c>
      <c r="Z23">
        <f t="shared" si="11"/>
        <v>3</v>
      </c>
    </row>
    <row r="24" spans="1:26" x14ac:dyDescent="0.3">
      <c r="A24" t="str">
        <f>Wedstrijden!$E$7</f>
        <v>SVG Den Bosch</v>
      </c>
      <c r="B24">
        <f>'2'!B14</f>
        <v>3</v>
      </c>
      <c r="C24" t="str">
        <f>HLOOKUP(A24,spelerslijsten!$B$1:$J$22,3,FALSE)</f>
        <v>Bjorn Blom</v>
      </c>
      <c r="D24">
        <f>'2'!V14</f>
        <v>0</v>
      </c>
      <c r="F24" t="str">
        <f t="shared" si="0"/>
        <v>SVG Den Bosch3Bjorn Blom</v>
      </c>
      <c r="G24">
        <f t="shared" si="1"/>
        <v>0</v>
      </c>
      <c r="J24" t="str">
        <f>spelerslijsten!D1</f>
        <v>RZ Roermond</v>
      </c>
      <c r="K24" s="1">
        <f>HLOOKUP(J24,spelerslijsten!$B$1:$J$22,4,FALSE)</f>
        <v>3</v>
      </c>
      <c r="L24" t="str">
        <f>HLOOKUP(J24,spelerslijsten!$B$1:$J$22,3,FALSE)</f>
        <v>Helga Addink</v>
      </c>
      <c r="M24" t="str">
        <f t="shared" si="2"/>
        <v>RZ Roermond3Helga Addink</v>
      </c>
      <c r="N24">
        <f t="shared" si="3"/>
        <v>0</v>
      </c>
      <c r="O24">
        <f t="shared" si="4"/>
        <v>57</v>
      </c>
      <c r="P24" t="str">
        <f t="shared" si="17"/>
        <v>Luc Mulder</v>
      </c>
      <c r="Q24" t="str">
        <f t="shared" si="18"/>
        <v>RZ Roermond</v>
      </c>
      <c r="R24">
        <f t="shared" si="19"/>
        <v>0</v>
      </c>
      <c r="S24">
        <f t="shared" si="8"/>
        <v>44</v>
      </c>
      <c r="T24" cm="1">
        <f t="array" ref="T24">SUMPRODUCT(($R$2:$R$91=R24)*($Q$2:$Q$91&gt;Q24))</f>
        <v>13</v>
      </c>
      <c r="U24" cm="1">
        <f t="array" ref="U24">SUMPRODUCT(($R$2:$R$91=R24)*($Q$2:$Q$91=Q24)*($P$2:$P$91&gt;P24))</f>
        <v>0</v>
      </c>
      <c r="V24" cm="1">
        <f t="array" ref="V24">SUMPRODUCT(($R$2:$R$91=R24)*($Q$2:$Q$91=Q24)*($P$2:$P$91=P24)*($W$2:$W$91&gt;W24))</f>
        <v>0</v>
      </c>
      <c r="W24">
        <v>23</v>
      </c>
      <c r="X24" t="str">
        <f t="shared" si="9"/>
        <v>Tim van den Akker</v>
      </c>
      <c r="Y24" t="str">
        <f t="shared" si="10"/>
        <v>Gesposs Geel</v>
      </c>
      <c r="Z24">
        <f t="shared" si="11"/>
        <v>3</v>
      </c>
    </row>
    <row r="25" spans="1:26" x14ac:dyDescent="0.3">
      <c r="A25" t="str">
        <f>Wedstrijden!$E$7</f>
        <v>SVG Den Bosch</v>
      </c>
      <c r="B25">
        <f>'2'!B15</f>
        <v>4</v>
      </c>
      <c r="C25" t="str">
        <f>HLOOKUP(A25,spelerslijsten!$B$1:$J$22,5,FALSE)</f>
        <v>Wesley van Eldijk</v>
      </c>
      <c r="D25">
        <f>'2'!V15</f>
        <v>1</v>
      </c>
      <c r="F25" t="str">
        <f t="shared" si="0"/>
        <v>SVG Den Bosch4Wesley van Eldijk</v>
      </c>
      <c r="G25">
        <f t="shared" si="1"/>
        <v>1</v>
      </c>
      <c r="J25" t="str">
        <f>J24</f>
        <v>RZ Roermond</v>
      </c>
      <c r="K25" s="1">
        <f>HLOOKUP(J25,spelerslijsten!$B$1:$J$22,6,FALSE)</f>
        <v>4</v>
      </c>
      <c r="L25" t="str">
        <f>HLOOKUP(J25,spelerslijsten!$B$1:$J$22,5,FALSE)</f>
        <v>Werner Dudek</v>
      </c>
      <c r="M25" t="str">
        <f t="shared" si="2"/>
        <v>RZ Roermond4Werner Dudek</v>
      </c>
      <c r="N25">
        <f t="shared" si="3"/>
        <v>2</v>
      </c>
      <c r="O25">
        <f t="shared" si="4"/>
        <v>22</v>
      </c>
      <c r="P25" t="str">
        <f t="shared" si="17"/>
        <v>Ties Bouten</v>
      </c>
      <c r="Q25" t="str">
        <f t="shared" si="18"/>
        <v>RZ Roermond</v>
      </c>
      <c r="R25">
        <f t="shared" si="19"/>
        <v>3</v>
      </c>
      <c r="S25">
        <f t="shared" si="8"/>
        <v>19</v>
      </c>
      <c r="T25" cm="1">
        <f t="array" ref="T25">SUMPRODUCT(($R$2:$R$91=R25)*($Q$2:$Q$91&gt;Q25))</f>
        <v>3</v>
      </c>
      <c r="U25" cm="1">
        <f t="array" ref="U25">SUMPRODUCT(($R$2:$R$91=R25)*($Q$2:$Q$91=Q25)*($P$2:$P$91&gt;P25))</f>
        <v>0</v>
      </c>
      <c r="V25" cm="1">
        <f t="array" ref="V25">SUMPRODUCT(($R$2:$R$91=R25)*($Q$2:$Q$91=Q25)*($P$2:$P$91=P25)*($W$2:$W$91&gt;W25))</f>
        <v>0</v>
      </c>
      <c r="W25">
        <v>24</v>
      </c>
      <c r="X25" t="str">
        <f t="shared" si="9"/>
        <v>Bianca Verbeek</v>
      </c>
      <c r="Y25" t="str">
        <f t="shared" si="10"/>
        <v>De Tubanten 2</v>
      </c>
      <c r="Z25">
        <f t="shared" si="11"/>
        <v>3</v>
      </c>
    </row>
    <row r="26" spans="1:26" x14ac:dyDescent="0.3">
      <c r="A26" t="str">
        <f>Wedstrijden!$E$7</f>
        <v>SVG Den Bosch</v>
      </c>
      <c r="B26">
        <f>'2'!B16</f>
        <v>5</v>
      </c>
      <c r="C26" t="str">
        <f>HLOOKUP(A26,spelerslijsten!$B$1:$J$22,7,FALSE)</f>
        <v>Jurriaan Rijnaars</v>
      </c>
      <c r="D26">
        <f>'2'!V16</f>
        <v>1</v>
      </c>
      <c r="F26" t="str">
        <f t="shared" si="0"/>
        <v>SVG Den Bosch5Jurriaan Rijnaars</v>
      </c>
      <c r="G26">
        <f t="shared" si="1"/>
        <v>1</v>
      </c>
      <c r="J26" t="str">
        <f t="shared" ref="J26:J33" si="20">J25</f>
        <v>RZ Roermond</v>
      </c>
      <c r="K26" s="1">
        <f>HLOOKUP(J26,spelerslijsten!$B$1:$J$22,8,FALSE)</f>
        <v>5</v>
      </c>
      <c r="L26" t="str">
        <f>HLOOKUP(J26,spelerslijsten!$B$1:$J$22,7,FALSE)</f>
        <v>Luc Mulder</v>
      </c>
      <c r="M26" t="str">
        <f t="shared" si="2"/>
        <v>RZ Roermond5Luc Mulder</v>
      </c>
      <c r="N26">
        <f t="shared" si="3"/>
        <v>0</v>
      </c>
      <c r="O26">
        <f t="shared" si="4"/>
        <v>1</v>
      </c>
      <c r="P26" t="str">
        <f t="shared" si="17"/>
        <v>Wilma van Helden</v>
      </c>
      <c r="Q26" t="str">
        <f t="shared" si="18"/>
        <v>RZ Roermond</v>
      </c>
      <c r="R26">
        <f t="shared" si="19"/>
        <v>16</v>
      </c>
      <c r="S26">
        <f t="shared" si="8"/>
        <v>1</v>
      </c>
      <c r="T26" cm="1">
        <f t="array" ref="T26">SUMPRODUCT(($R$2:$R$91=R26)*($Q$2:$Q$91&gt;Q26))</f>
        <v>0</v>
      </c>
      <c r="U26" cm="1">
        <f t="array" ref="U26">SUMPRODUCT(($R$2:$R$91=R26)*($Q$2:$Q$91=Q26)*($P$2:$P$91&gt;P26))</f>
        <v>0</v>
      </c>
      <c r="V26" cm="1">
        <f t="array" ref="V26">SUMPRODUCT(($R$2:$R$91=R26)*($Q$2:$Q$91=Q26)*($P$2:$P$91=P26)*($W$2:$W$91&gt;W26))</f>
        <v>0</v>
      </c>
      <c r="W26">
        <v>25</v>
      </c>
      <c r="X26" t="str">
        <f t="shared" si="9"/>
        <v>Andre Buitink</v>
      </c>
      <c r="Y26" t="str">
        <f t="shared" si="10"/>
        <v>De Tubanten 1</v>
      </c>
      <c r="Z26">
        <f t="shared" si="11"/>
        <v>3</v>
      </c>
    </row>
    <row r="27" spans="1:26" x14ac:dyDescent="0.3">
      <c r="A27" t="str">
        <f>Wedstrijden!$E$7</f>
        <v>SVG Den Bosch</v>
      </c>
      <c r="B27">
        <f>'2'!B17</f>
        <v>6</v>
      </c>
      <c r="C27" t="str">
        <f>HLOOKUP(A27,spelerslijsten!$B$1:$J$22,9,FALSE)</f>
        <v>Lucas van Osch</v>
      </c>
      <c r="D27">
        <f>'2'!V17</f>
        <v>0</v>
      </c>
      <c r="F27" t="str">
        <f t="shared" si="0"/>
        <v>SVG Den Bosch6Lucas van Osch</v>
      </c>
      <c r="G27">
        <f t="shared" si="1"/>
        <v>0</v>
      </c>
      <c r="J27" t="str">
        <f t="shared" si="20"/>
        <v>RZ Roermond</v>
      </c>
      <c r="K27" s="1">
        <f>HLOOKUP(J27,spelerslijsten!$B$1:$J$22,10,FALSE)</f>
        <v>7</v>
      </c>
      <c r="L27" t="str">
        <f>HLOOKUP(J27,spelerslijsten!$B$1:$J$22,9,FALSE)</f>
        <v>Ties Bouten</v>
      </c>
      <c r="M27" t="str">
        <f t="shared" si="2"/>
        <v>RZ Roermond7Ties Bouten</v>
      </c>
      <c r="N27">
        <f t="shared" si="3"/>
        <v>3</v>
      </c>
      <c r="O27">
        <f t="shared" si="4"/>
        <v>40</v>
      </c>
      <c r="P27" t="str">
        <f t="shared" si="17"/>
        <v>Sonja Bouten</v>
      </c>
      <c r="Q27" t="str">
        <f t="shared" si="18"/>
        <v>RZ Roermond</v>
      </c>
      <c r="R27">
        <f t="shared" si="19"/>
        <v>1</v>
      </c>
      <c r="S27">
        <f t="shared" si="8"/>
        <v>32</v>
      </c>
      <c r="T27" cm="1">
        <f t="array" ref="T27">SUMPRODUCT(($R$2:$R$91=R27)*($Q$2:$Q$91&gt;Q27))</f>
        <v>8</v>
      </c>
      <c r="U27" cm="1">
        <f t="array" ref="U27">SUMPRODUCT(($R$2:$R$91=R27)*($Q$2:$Q$91=Q27)*($P$2:$P$91&gt;P27))</f>
        <v>0</v>
      </c>
      <c r="V27" cm="1">
        <f t="array" ref="V27">SUMPRODUCT(($R$2:$R$91=R27)*($Q$2:$Q$91=Q27)*($P$2:$P$91=P27)*($W$2:$W$91&gt;W27))</f>
        <v>0</v>
      </c>
      <c r="W27">
        <v>26</v>
      </c>
      <c r="X27" t="str">
        <f t="shared" si="9"/>
        <v>Stefan van der Wielen</v>
      </c>
      <c r="Y27" t="str">
        <f t="shared" si="10"/>
        <v>VZ&amp;PC Nautilus 1</v>
      </c>
      <c r="Z27">
        <f t="shared" si="11"/>
        <v>2</v>
      </c>
    </row>
    <row r="28" spans="1:26" x14ac:dyDescent="0.3">
      <c r="A28" t="str">
        <f>Wedstrijden!$E$7</f>
        <v>SVG Den Bosch</v>
      </c>
      <c r="B28">
        <f>'2'!B18</f>
        <v>7</v>
      </c>
      <c r="C28" t="str">
        <f>HLOOKUP(A28,spelerslijsten!$B$1:$J$22,11,FALSE)</f>
        <v>Helmi van Hirtum</v>
      </c>
      <c r="D28">
        <f>'2'!V18</f>
        <v>0</v>
      </c>
      <c r="F28" t="str">
        <f t="shared" si="0"/>
        <v>SVG Den Bosch7Helmi van Hirtum</v>
      </c>
      <c r="G28">
        <f t="shared" si="1"/>
        <v>0</v>
      </c>
      <c r="J28" t="str">
        <f t="shared" si="20"/>
        <v>RZ Roermond</v>
      </c>
      <c r="K28" s="1">
        <f>HLOOKUP(J28,spelerslijsten!$B$1:$J$22,12,FALSE)</f>
        <v>9</v>
      </c>
      <c r="L28" t="str">
        <f>HLOOKUP(J28,spelerslijsten!$B$1:$J$22,11,FALSE)</f>
        <v>Wilma van Helden</v>
      </c>
      <c r="M28" t="str">
        <f t="shared" si="2"/>
        <v>RZ Roermond9Wilma van Helden</v>
      </c>
      <c r="N28">
        <f t="shared" si="3"/>
        <v>16</v>
      </c>
      <c r="O28">
        <f t="shared" si="4"/>
        <v>59</v>
      </c>
      <c r="P28" t="str">
        <f t="shared" si="17"/>
        <v>Hans Reijnders (leen)</v>
      </c>
      <c r="Q28" t="str">
        <f t="shared" si="18"/>
        <v>RZ Roermond</v>
      </c>
      <c r="R28">
        <f t="shared" si="19"/>
        <v>0</v>
      </c>
      <c r="S28">
        <f t="shared" si="8"/>
        <v>44</v>
      </c>
      <c r="T28" cm="1">
        <f t="array" ref="T28">SUMPRODUCT(($R$2:$R$91=R28)*($Q$2:$Q$91&gt;Q28))</f>
        <v>13</v>
      </c>
      <c r="U28" cm="1">
        <f t="array" ref="U28">SUMPRODUCT(($R$2:$R$91=R28)*($Q$2:$Q$91=Q28)*($P$2:$P$91&gt;P28))</f>
        <v>2</v>
      </c>
      <c r="V28" cm="1">
        <f t="array" ref="V28">SUMPRODUCT(($R$2:$R$91=R28)*($Q$2:$Q$91=Q28)*($P$2:$P$91=P28)*($W$2:$W$91&gt;W28))</f>
        <v>0</v>
      </c>
      <c r="W28">
        <v>27</v>
      </c>
      <c r="X28" t="str">
        <f t="shared" si="9"/>
        <v>Stefan Hermens</v>
      </c>
      <c r="Y28" t="str">
        <f t="shared" si="10"/>
        <v>SVG Den Bosch</v>
      </c>
      <c r="Z28">
        <f t="shared" si="11"/>
        <v>2</v>
      </c>
    </row>
    <row r="29" spans="1:26" x14ac:dyDescent="0.3">
      <c r="A29" t="str">
        <f>Wedstrijden!$E$7</f>
        <v>SVG Den Bosch</v>
      </c>
      <c r="B29">
        <f>'2'!B19</f>
        <v>8</v>
      </c>
      <c r="C29" t="str">
        <f>HLOOKUP(A29,spelerslijsten!$B$1:$J$22,13,FALSE)</f>
        <v>Sara van Grinsven</v>
      </c>
      <c r="D29">
        <f>'2'!V19</f>
        <v>0</v>
      </c>
      <c r="F29" t="str">
        <f t="shared" si="0"/>
        <v>SVG Den Bosch8Sara van Grinsven</v>
      </c>
      <c r="G29">
        <f t="shared" si="1"/>
        <v>0</v>
      </c>
      <c r="J29" t="str">
        <f t="shared" si="20"/>
        <v>RZ Roermond</v>
      </c>
      <c r="K29" s="1">
        <f>HLOOKUP(J29,spelerslijsten!$B$1:$J$22,14,FALSE)</f>
        <v>11</v>
      </c>
      <c r="L29" t="str">
        <f>HLOOKUP(J29,spelerslijsten!$B$1:$J$22,13,FALSE)</f>
        <v>Sonja Bouten</v>
      </c>
      <c r="M29" t="str">
        <f t="shared" si="2"/>
        <v>RZ Roermond11Sonja Bouten</v>
      </c>
      <c r="N29">
        <f t="shared" si="3"/>
        <v>1</v>
      </c>
      <c r="O29">
        <f t="shared" si="4"/>
        <v>62</v>
      </c>
      <c r="P29">
        <f t="shared" si="17"/>
        <v>0</v>
      </c>
      <c r="Q29" t="str">
        <f t="shared" si="18"/>
        <v>RZ Roermond</v>
      </c>
      <c r="R29">
        <f t="shared" si="19"/>
        <v>0</v>
      </c>
      <c r="S29">
        <f t="shared" si="8"/>
        <v>44</v>
      </c>
      <c r="T29" cm="1">
        <f t="array" ref="T29">SUMPRODUCT(($R$2:$R$91=R29)*($Q$2:$Q$91&gt;Q29))</f>
        <v>13</v>
      </c>
      <c r="U29" cm="1">
        <f t="array" ref="U29">SUMPRODUCT(($R$2:$R$91=R29)*($Q$2:$Q$91=Q29)*($P$2:$P$91&gt;P29))</f>
        <v>3</v>
      </c>
      <c r="V29" cm="1">
        <f t="array" ref="V29">SUMPRODUCT(($R$2:$R$91=R29)*($Q$2:$Q$91=Q29)*($P$2:$P$91=P29)*($W$2:$W$91&gt;W29))</f>
        <v>2</v>
      </c>
      <c r="W29">
        <v>28</v>
      </c>
      <c r="X29" t="str">
        <f t="shared" si="9"/>
        <v>Werner Dudek</v>
      </c>
      <c r="Y29" t="str">
        <f t="shared" si="10"/>
        <v>RZ Roermond</v>
      </c>
      <c r="Z29">
        <f t="shared" si="11"/>
        <v>2</v>
      </c>
    </row>
    <row r="30" spans="1:26" x14ac:dyDescent="0.3">
      <c r="A30" t="str">
        <f>Wedstrijden!$E$7</f>
        <v>SVG Den Bosch</v>
      </c>
      <c r="B30">
        <f>'2'!B20</f>
        <v>9</v>
      </c>
      <c r="C30" t="str">
        <f>HLOOKUP(A30,spelerslijsten!$B$1:$J$22,15,FALSE)</f>
        <v>Robby van Gruythuysen</v>
      </c>
      <c r="D30">
        <f>'2'!V20</f>
        <v>0</v>
      </c>
      <c r="F30" t="str">
        <f t="shared" si="0"/>
        <v>SVG Den Bosch9Robby van Gruythuysen</v>
      </c>
      <c r="G30">
        <f t="shared" si="1"/>
        <v>0</v>
      </c>
      <c r="J30" t="str">
        <f t="shared" si="20"/>
        <v>RZ Roermond</v>
      </c>
      <c r="K30" s="1">
        <f>HLOOKUP(J30,spelerslijsten!$B$1:$J$22,16,FALSE)</f>
        <v>12</v>
      </c>
      <c r="L30" t="str">
        <f>HLOOKUP(J30,spelerslijsten!$B$1:$J$22,15,FALSE)</f>
        <v>Hans Reijnders (leen)</v>
      </c>
      <c r="M30" t="str">
        <f t="shared" si="2"/>
        <v>RZ Roermond12Hans Reijnders (leen)</v>
      </c>
      <c r="N30">
        <f t="shared" si="3"/>
        <v>0</v>
      </c>
      <c r="O30">
        <f t="shared" si="4"/>
        <v>61</v>
      </c>
      <c r="P30">
        <f t="shared" si="17"/>
        <v>0</v>
      </c>
      <c r="Q30" t="str">
        <f t="shared" si="18"/>
        <v>RZ Roermond</v>
      </c>
      <c r="R30">
        <f t="shared" si="19"/>
        <v>0</v>
      </c>
      <c r="S30">
        <f t="shared" si="8"/>
        <v>44</v>
      </c>
      <c r="T30" cm="1">
        <f t="array" ref="T30">SUMPRODUCT(($R$2:$R$91=R30)*($Q$2:$Q$91&gt;Q30))</f>
        <v>13</v>
      </c>
      <c r="U30" cm="1">
        <f t="array" ref="U30">SUMPRODUCT(($R$2:$R$91=R30)*($Q$2:$Q$91=Q30)*($P$2:$P$91&gt;P30))</f>
        <v>3</v>
      </c>
      <c r="V30" cm="1">
        <f t="array" ref="V30">SUMPRODUCT(($R$2:$R$91=R30)*($Q$2:$Q$91=Q30)*($P$2:$P$91=P30)*($W$2:$W$91&gt;W30))</f>
        <v>1</v>
      </c>
      <c r="W30">
        <v>29</v>
      </c>
      <c r="X30" t="str">
        <f t="shared" si="9"/>
        <v>Jasper van Houtum</v>
      </c>
      <c r="Y30" t="str">
        <f t="shared" si="10"/>
        <v>Gesposs Geel</v>
      </c>
      <c r="Z30">
        <f t="shared" si="11"/>
        <v>2</v>
      </c>
    </row>
    <row r="31" spans="1:26" x14ac:dyDescent="0.3">
      <c r="A31" t="str">
        <f>Wedstrijden!$E$7</f>
        <v>SVG Den Bosch</v>
      </c>
      <c r="B31">
        <f>'2'!B21</f>
        <v>10</v>
      </c>
      <c r="C31" t="str">
        <f>HLOOKUP(A31,spelerslijsten!$B$1:$J$22,17,FALSE)</f>
        <v>Peter Schwering</v>
      </c>
      <c r="D31">
        <f>'2'!V21</f>
        <v>0</v>
      </c>
      <c r="F31" t="str">
        <f t="shared" si="0"/>
        <v>SVG Den Bosch10Peter Schwering</v>
      </c>
      <c r="G31">
        <f t="shared" si="1"/>
        <v>0</v>
      </c>
      <c r="J31" t="str">
        <f t="shared" si="20"/>
        <v>RZ Roermond</v>
      </c>
      <c r="K31" s="1">
        <f>HLOOKUP(J31,spelerslijsten!$B$1:$J$22,18,FALSE)</f>
        <v>0</v>
      </c>
      <c r="L31">
        <f>HLOOKUP(J31,spelerslijsten!$B$1:$J$22,17,FALSE)</f>
        <v>0</v>
      </c>
      <c r="M31" t="str">
        <f t="shared" si="2"/>
        <v>RZ Roermond00</v>
      </c>
      <c r="N31">
        <f t="shared" si="3"/>
        <v>0</v>
      </c>
      <c r="O31">
        <f t="shared" si="4"/>
        <v>60</v>
      </c>
      <c r="P31">
        <f t="shared" si="17"/>
        <v>0</v>
      </c>
      <c r="Q31" t="str">
        <f t="shared" si="18"/>
        <v>RZ Roermond</v>
      </c>
      <c r="R31">
        <f t="shared" si="19"/>
        <v>0</v>
      </c>
      <c r="S31">
        <f t="shared" si="8"/>
        <v>44</v>
      </c>
      <c r="T31" cm="1">
        <f t="array" ref="T31">SUMPRODUCT(($R$2:$R$91=R31)*($Q$2:$Q$91&gt;Q31))</f>
        <v>13</v>
      </c>
      <c r="U31" cm="1">
        <f t="array" ref="U31">SUMPRODUCT(($R$2:$R$91=R31)*($Q$2:$Q$91=Q31)*($P$2:$P$91&gt;P31))</f>
        <v>3</v>
      </c>
      <c r="V31" cm="1">
        <f t="array" ref="V31">SUMPRODUCT(($R$2:$R$91=R31)*($Q$2:$Q$91=Q31)*($P$2:$P$91=P31)*($W$2:$W$91&gt;W31))</f>
        <v>0</v>
      </c>
      <c r="W31">
        <v>30</v>
      </c>
      <c r="X31" t="str">
        <f t="shared" si="9"/>
        <v>Marieke van Namen</v>
      </c>
      <c r="Y31" t="str">
        <f t="shared" si="10"/>
        <v>Gesposs Blauw</v>
      </c>
      <c r="Z31">
        <f t="shared" si="11"/>
        <v>2</v>
      </c>
    </row>
    <row r="32" spans="1:26" x14ac:dyDescent="0.3">
      <c r="A32" t="str">
        <f>Wedstrijden!$E$7</f>
        <v>SVG Den Bosch</v>
      </c>
      <c r="B32">
        <f>'2'!B22</f>
        <v>11</v>
      </c>
      <c r="C32" t="str">
        <f>HLOOKUP(A32,spelerslijsten!$B$1:$J$22,19,FALSE)</f>
        <v>Stefan Hermens</v>
      </c>
      <c r="D32">
        <f>'2'!V22</f>
        <v>2</v>
      </c>
      <c r="F32" t="str">
        <f t="shared" si="0"/>
        <v>SVG Den Bosch11Stefan Hermens</v>
      </c>
      <c r="G32">
        <f t="shared" si="1"/>
        <v>2</v>
      </c>
      <c r="J32" t="str">
        <f t="shared" si="20"/>
        <v>RZ Roermond</v>
      </c>
      <c r="K32" s="1">
        <f>HLOOKUP(J32,spelerslijsten!$B$1:$J$22,20,FALSE)</f>
        <v>0</v>
      </c>
      <c r="L32">
        <f>HLOOKUP(J32,spelerslijsten!$B$1:$J$22,19,FALSE)</f>
        <v>0</v>
      </c>
      <c r="M32" t="str">
        <f t="shared" si="2"/>
        <v>RZ Roermond00</v>
      </c>
      <c r="N32">
        <f t="shared" si="3"/>
        <v>0</v>
      </c>
      <c r="O32">
        <f t="shared" si="4"/>
        <v>29</v>
      </c>
      <c r="P32" t="str">
        <f t="shared" ref="P32:P41" si="21">L35</f>
        <v>Jasper van Houtum</v>
      </c>
      <c r="Q32" t="str">
        <f t="shared" ref="Q32:Q41" si="22">J35</f>
        <v>Gesposs Geel</v>
      </c>
      <c r="R32">
        <f t="shared" ref="R32:R41" si="23">N35</f>
        <v>2</v>
      </c>
      <c r="S32">
        <f t="shared" si="8"/>
        <v>26</v>
      </c>
      <c r="T32" cm="1">
        <f t="array" ref="T32">SUMPRODUCT(($R$2:$R$91=R32)*($Q$2:$Q$91&gt;Q32))</f>
        <v>3</v>
      </c>
      <c r="U32" cm="1">
        <f t="array" ref="U32">SUMPRODUCT(($R$2:$R$91=R32)*($Q$2:$Q$91=Q32)*($P$2:$P$91&gt;P32))</f>
        <v>0</v>
      </c>
      <c r="V32" cm="1">
        <f t="array" ref="V32">SUMPRODUCT(($R$2:$R$91=R32)*($Q$2:$Q$91=Q32)*($P$2:$P$91=P32)*($W$2:$W$91&gt;W32))</f>
        <v>0</v>
      </c>
      <c r="W32">
        <v>31</v>
      </c>
      <c r="X32" t="str">
        <f t="shared" si="9"/>
        <v>Celine van de Heuvel</v>
      </c>
      <c r="Y32" t="str">
        <f t="shared" si="10"/>
        <v>Gesposs Blauw</v>
      </c>
      <c r="Z32">
        <f t="shared" si="11"/>
        <v>2</v>
      </c>
    </row>
    <row r="33" spans="1:26" x14ac:dyDescent="0.3">
      <c r="A33" t="str">
        <f>Wedstrijden!$E$7</f>
        <v>SVG Den Bosch</v>
      </c>
      <c r="B33" t="str">
        <f>'2'!B23</f>
        <v/>
      </c>
      <c r="C33">
        <f>HLOOKUP(A33,spelerslijsten!$B$1:$J$22,21,FALSE)</f>
        <v>0</v>
      </c>
      <c r="D33">
        <f>'2'!V23</f>
        <v>0</v>
      </c>
      <c r="F33" t="str">
        <f t="shared" si="0"/>
        <v>SVG Den Bosch0</v>
      </c>
      <c r="G33">
        <f t="shared" si="1"/>
        <v>0</v>
      </c>
      <c r="J33" t="str">
        <f t="shared" si="20"/>
        <v>RZ Roermond</v>
      </c>
      <c r="K33" s="1">
        <f>HLOOKUP(J33,spelerslijsten!$B$1:$J$22,22,FALSE)</f>
        <v>0</v>
      </c>
      <c r="L33">
        <f>HLOOKUP(J33,spelerslijsten!$B$1:$J$22,21,FALSE)</f>
        <v>0</v>
      </c>
      <c r="M33" t="str">
        <f t="shared" si="2"/>
        <v>RZ Roermond00</v>
      </c>
      <c r="N33">
        <f t="shared" si="3"/>
        <v>0</v>
      </c>
      <c r="O33">
        <f t="shared" si="4"/>
        <v>11</v>
      </c>
      <c r="P33" t="str">
        <f t="shared" si="21"/>
        <v>Arjan Dulos</v>
      </c>
      <c r="Q33" t="str">
        <f t="shared" si="22"/>
        <v>Gesposs Geel</v>
      </c>
      <c r="R33">
        <f t="shared" si="23"/>
        <v>5</v>
      </c>
      <c r="S33">
        <f t="shared" si="8"/>
        <v>10</v>
      </c>
      <c r="T33" cm="1">
        <f t="array" ref="T33">SUMPRODUCT(($R$2:$R$91=R33)*($Q$2:$Q$91&gt;Q33))</f>
        <v>0</v>
      </c>
      <c r="U33" cm="1">
        <f t="array" ref="U33">SUMPRODUCT(($R$2:$R$91=R33)*($Q$2:$Q$91=Q33)*($P$2:$P$91&gt;P33))</f>
        <v>1</v>
      </c>
      <c r="V33" cm="1">
        <f t="array" ref="V33">SUMPRODUCT(($R$2:$R$91=R33)*($Q$2:$Q$91=Q33)*($P$2:$P$91=P33)*($W$2:$W$91&gt;W33))</f>
        <v>0</v>
      </c>
      <c r="W33">
        <v>32</v>
      </c>
      <c r="X33" t="str">
        <f t="shared" si="9"/>
        <v>Susan van Wanrooy</v>
      </c>
      <c r="Y33" t="str">
        <f t="shared" si="10"/>
        <v>VZ&amp;PC Nautilus 2</v>
      </c>
      <c r="Z33">
        <f t="shared" si="11"/>
        <v>1</v>
      </c>
    </row>
    <row r="34" spans="1:26" x14ac:dyDescent="0.3">
      <c r="F34" t="str">
        <f t="shared" si="0"/>
        <v/>
      </c>
      <c r="G34">
        <f t="shared" si="1"/>
        <v>0</v>
      </c>
      <c r="O34">
        <f t="shared" si="4"/>
        <v>65</v>
      </c>
      <c r="P34" t="str">
        <f t="shared" si="21"/>
        <v>Kim Wolf</v>
      </c>
      <c r="Q34" t="str">
        <f t="shared" si="22"/>
        <v>Gesposs Geel</v>
      </c>
      <c r="R34">
        <f t="shared" si="23"/>
        <v>0</v>
      </c>
      <c r="S34">
        <f t="shared" si="8"/>
        <v>44</v>
      </c>
      <c r="T34" cm="1">
        <f t="array" ref="T34">SUMPRODUCT(($R$2:$R$91=R34)*($Q$2:$Q$91&gt;Q34))</f>
        <v>19</v>
      </c>
      <c r="U34" cm="1">
        <f t="array" ref="U34">SUMPRODUCT(($R$2:$R$91=R34)*($Q$2:$Q$91=Q34)*($P$2:$P$91&gt;P34))</f>
        <v>2</v>
      </c>
      <c r="V34" cm="1">
        <f t="array" ref="V34">SUMPRODUCT(($R$2:$R$91=R34)*($Q$2:$Q$91=Q34)*($P$2:$P$91=P34)*($W$2:$W$91&gt;W34))</f>
        <v>0</v>
      </c>
      <c r="W34">
        <v>33</v>
      </c>
      <c r="X34" t="str">
        <f t="shared" si="9"/>
        <v>Mieke van Gerwen</v>
      </c>
      <c r="Y34" t="str">
        <f t="shared" si="10"/>
        <v>VZ&amp;PC Nautilus 2</v>
      </c>
      <c r="Z34">
        <f t="shared" si="11"/>
        <v>1</v>
      </c>
    </row>
    <row r="35" spans="1:26" x14ac:dyDescent="0.3">
      <c r="A35" t="str">
        <f>Wedstrijden!$I$7</f>
        <v>Gesposs Blauw</v>
      </c>
      <c r="B35">
        <f>'2'!B30</f>
        <v>2</v>
      </c>
      <c r="C35" t="str">
        <f>HLOOKUP(A35,spelerslijsten!$B$1:$J$22,3,FALSE)</f>
        <v>Jack Steeghs</v>
      </c>
      <c r="D35">
        <f>'2'!V30</f>
        <v>0</v>
      </c>
      <c r="F35" t="str">
        <f t="shared" si="0"/>
        <v>Gesposs Blauw2Jack Steeghs</v>
      </c>
      <c r="G35">
        <f t="shared" si="1"/>
        <v>0</v>
      </c>
      <c r="J35" t="str">
        <f>spelerslijsten!E1</f>
        <v>Gesposs Geel</v>
      </c>
      <c r="K35" s="1">
        <f>HLOOKUP(J35,spelerslijsten!$B$1:$J$22,4,FALSE)</f>
        <v>2</v>
      </c>
      <c r="L35" t="str">
        <f>HLOOKUP(J35,spelerslijsten!$B$1:$J$22,3,FALSE)</f>
        <v>Jasper van Houtum</v>
      </c>
      <c r="M35" t="str">
        <f t="shared" si="2"/>
        <v>Gesposs Geel2Jasper van Houtum</v>
      </c>
      <c r="N35">
        <f t="shared" si="3"/>
        <v>2</v>
      </c>
      <c r="O35">
        <f t="shared" si="4"/>
        <v>41</v>
      </c>
      <c r="P35" t="str">
        <f t="shared" si="21"/>
        <v>Kevin van Boekel</v>
      </c>
      <c r="Q35" t="str">
        <f t="shared" si="22"/>
        <v>Gesposs Geel</v>
      </c>
      <c r="R35">
        <f t="shared" si="23"/>
        <v>1</v>
      </c>
      <c r="S35">
        <f t="shared" si="8"/>
        <v>32</v>
      </c>
      <c r="T35" cm="1">
        <f t="array" ref="T35">SUMPRODUCT(($R$2:$R$91=R35)*($Q$2:$Q$91&gt;Q35))</f>
        <v>9</v>
      </c>
      <c r="U35" cm="1">
        <f t="array" ref="U35">SUMPRODUCT(($R$2:$R$91=R35)*($Q$2:$Q$91=Q35)*($P$2:$P$91&gt;P35))</f>
        <v>0</v>
      </c>
      <c r="V35" cm="1">
        <f t="array" ref="V35">SUMPRODUCT(($R$2:$R$91=R35)*($Q$2:$Q$91=Q35)*($P$2:$P$91=P35)*($W$2:$W$91&gt;W35))</f>
        <v>0</v>
      </c>
      <c r="W35">
        <v>34</v>
      </c>
      <c r="X35" t="str">
        <f t="shared" si="9"/>
        <v>Marga Schouten</v>
      </c>
      <c r="Y35" t="str">
        <f t="shared" si="10"/>
        <v>VZ&amp;PC Nautilus 2</v>
      </c>
      <c r="Z35">
        <f t="shared" si="11"/>
        <v>1</v>
      </c>
    </row>
    <row r="36" spans="1:26" x14ac:dyDescent="0.3">
      <c r="A36" t="str">
        <f>Wedstrijden!$I$7</f>
        <v>Gesposs Blauw</v>
      </c>
      <c r="B36">
        <f>'2'!B31</f>
        <v>3</v>
      </c>
      <c r="C36" t="str">
        <f>HLOOKUP(A36,spelerslijsten!$B$1:$J$22,5,FALSE)</f>
        <v>Niels Venterink</v>
      </c>
      <c r="D36">
        <f>'2'!V31</f>
        <v>0</v>
      </c>
      <c r="F36" t="str">
        <f t="shared" si="0"/>
        <v>Gesposs Blauw3Niels Venterink</v>
      </c>
      <c r="G36">
        <f t="shared" si="1"/>
        <v>0</v>
      </c>
      <c r="J36" t="str">
        <f>J35</f>
        <v>Gesposs Geel</v>
      </c>
      <c r="K36" s="1">
        <f>HLOOKUP(J36,spelerslijsten!$B$1:$J$22,6,FALSE)</f>
        <v>3</v>
      </c>
      <c r="L36" t="str">
        <f>HLOOKUP(J36,spelerslijsten!$B$1:$J$22,5,FALSE)</f>
        <v>Arjan Dulos</v>
      </c>
      <c r="M36" t="str">
        <f t="shared" ref="M36:M44" si="24">CONCATENATE(J36&amp;K36&amp;L36)</f>
        <v>Gesposs Geel3Arjan Dulos</v>
      </c>
      <c r="N36">
        <f t="shared" si="3"/>
        <v>5</v>
      </c>
      <c r="O36">
        <f t="shared" si="4"/>
        <v>66</v>
      </c>
      <c r="P36" t="str">
        <f t="shared" si="21"/>
        <v>Kevin van Kollenburg</v>
      </c>
      <c r="Q36" t="str">
        <f t="shared" si="22"/>
        <v>Gesposs Geel</v>
      </c>
      <c r="R36">
        <f t="shared" si="23"/>
        <v>0</v>
      </c>
      <c r="S36">
        <f t="shared" si="8"/>
        <v>44</v>
      </c>
      <c r="T36" cm="1">
        <f t="array" ref="T36">SUMPRODUCT(($R$2:$R$91=R36)*($Q$2:$Q$91&gt;Q36))</f>
        <v>19</v>
      </c>
      <c r="U36" cm="1">
        <f t="array" ref="U36">SUMPRODUCT(($R$2:$R$91=R36)*($Q$2:$Q$91=Q36)*($P$2:$P$91&gt;P36))</f>
        <v>3</v>
      </c>
      <c r="V36" cm="1">
        <f t="array" ref="V36">SUMPRODUCT(($R$2:$R$91=R36)*($Q$2:$Q$91=Q36)*($P$2:$P$91=P36)*($W$2:$W$91&gt;W36))</f>
        <v>0</v>
      </c>
      <c r="W36">
        <v>35</v>
      </c>
      <c r="X36" t="str">
        <f t="shared" si="9"/>
        <v>Monique Schouten</v>
      </c>
      <c r="Y36" t="str">
        <f t="shared" si="10"/>
        <v>VZ&amp;PC Nautilus 1</v>
      </c>
      <c r="Z36">
        <f t="shared" si="11"/>
        <v>1</v>
      </c>
    </row>
    <row r="37" spans="1:26" x14ac:dyDescent="0.3">
      <c r="A37" t="str">
        <f>Wedstrijden!$I$7</f>
        <v>Gesposs Blauw</v>
      </c>
      <c r="B37">
        <f>'2'!B32</f>
        <v>4</v>
      </c>
      <c r="C37" t="str">
        <f>HLOOKUP(A37,spelerslijsten!$B$1:$J$22,7,FALSE)</f>
        <v>Wendy Kuysters</v>
      </c>
      <c r="D37">
        <f>'2'!V32</f>
        <v>0</v>
      </c>
      <c r="F37" t="str">
        <f t="shared" si="0"/>
        <v>Gesposs Blauw4Wendy Kuysters</v>
      </c>
      <c r="G37">
        <f t="shared" si="1"/>
        <v>0</v>
      </c>
      <c r="J37" t="str">
        <f t="shared" ref="J37:J44" si="25">J36</f>
        <v>Gesposs Geel</v>
      </c>
      <c r="K37" s="1">
        <f>HLOOKUP(J37,spelerslijsten!$B$1:$J$22,8,FALSE)</f>
        <v>4</v>
      </c>
      <c r="L37" t="str">
        <f>HLOOKUP(J37,spelerslijsten!$B$1:$J$22,7,FALSE)</f>
        <v>Kim Wolf</v>
      </c>
      <c r="M37" t="str">
        <f t="shared" si="24"/>
        <v>Gesposs Geel4Kim Wolf</v>
      </c>
      <c r="N37">
        <f t="shared" si="3"/>
        <v>0</v>
      </c>
      <c r="O37">
        <f t="shared" si="4"/>
        <v>23</v>
      </c>
      <c r="P37" t="str">
        <f t="shared" si="21"/>
        <v>Tim van den Akker</v>
      </c>
      <c r="Q37" t="str">
        <f t="shared" si="22"/>
        <v>Gesposs Geel</v>
      </c>
      <c r="R37">
        <f t="shared" si="23"/>
        <v>3</v>
      </c>
      <c r="S37">
        <f t="shared" si="8"/>
        <v>19</v>
      </c>
      <c r="T37" cm="1">
        <f t="array" ref="T37">SUMPRODUCT(($R$2:$R$91=R37)*($Q$2:$Q$91&gt;Q37))</f>
        <v>4</v>
      </c>
      <c r="U37" cm="1">
        <f t="array" ref="U37">SUMPRODUCT(($R$2:$R$91=R37)*($Q$2:$Q$91=Q37)*($P$2:$P$91&gt;P37))</f>
        <v>0</v>
      </c>
      <c r="V37" cm="1">
        <f t="array" ref="V37">SUMPRODUCT(($R$2:$R$91=R37)*($Q$2:$Q$91=Q37)*($P$2:$P$91=P37)*($W$2:$W$91&gt;W37))</f>
        <v>0</v>
      </c>
      <c r="W37">
        <v>36</v>
      </c>
      <c r="X37" t="str">
        <f t="shared" si="9"/>
        <v>Jan Zegers</v>
      </c>
      <c r="Y37" t="str">
        <f t="shared" si="10"/>
        <v>VZ&amp;PC Nautilus 1</v>
      </c>
      <c r="Z37">
        <f t="shared" si="11"/>
        <v>1</v>
      </c>
    </row>
    <row r="38" spans="1:26" x14ac:dyDescent="0.3">
      <c r="A38" t="str">
        <f>Wedstrijden!$I$7</f>
        <v>Gesposs Blauw</v>
      </c>
      <c r="B38">
        <f>'2'!B33</f>
        <v>6</v>
      </c>
      <c r="C38" t="str">
        <f>HLOOKUP(A38,spelerslijsten!$B$1:$J$22,9,FALSE)</f>
        <v>Kristel Henst</v>
      </c>
      <c r="D38">
        <f>'2'!V33</f>
        <v>0</v>
      </c>
      <c r="F38" t="str">
        <f t="shared" si="0"/>
        <v>Gesposs Blauw6Kristel Henst</v>
      </c>
      <c r="G38">
        <f t="shared" si="1"/>
        <v>0</v>
      </c>
      <c r="J38" t="str">
        <f t="shared" si="25"/>
        <v>Gesposs Geel</v>
      </c>
      <c r="K38" s="1">
        <f>HLOOKUP(J38,spelerslijsten!$B$1:$J$22,10,FALSE)</f>
        <v>5</v>
      </c>
      <c r="L38" t="str">
        <f>HLOOKUP(J38,spelerslijsten!$B$1:$J$22,9,FALSE)</f>
        <v>Kevin van Boekel</v>
      </c>
      <c r="M38" t="str">
        <f t="shared" si="24"/>
        <v>Gesposs Geel5Kevin van Boekel</v>
      </c>
      <c r="N38">
        <f t="shared" si="3"/>
        <v>1</v>
      </c>
      <c r="O38">
        <f t="shared" si="4"/>
        <v>63</v>
      </c>
      <c r="P38" t="str">
        <f t="shared" si="21"/>
        <v>Marloes Beks-Geurts</v>
      </c>
      <c r="Q38" t="str">
        <f t="shared" si="22"/>
        <v>Gesposs Geel</v>
      </c>
      <c r="R38">
        <f t="shared" si="23"/>
        <v>0</v>
      </c>
      <c r="S38">
        <f t="shared" si="8"/>
        <v>44</v>
      </c>
      <c r="T38" cm="1">
        <f t="array" ref="T38">SUMPRODUCT(($R$2:$R$91=R38)*($Q$2:$Q$91&gt;Q38))</f>
        <v>19</v>
      </c>
      <c r="U38" cm="1">
        <f t="array" ref="U38">SUMPRODUCT(($R$2:$R$91=R38)*($Q$2:$Q$91=Q38)*($P$2:$P$91&gt;P38))</f>
        <v>0</v>
      </c>
      <c r="V38" cm="1">
        <f t="array" ref="V38">SUMPRODUCT(($R$2:$R$91=R38)*($Q$2:$Q$91=Q38)*($P$2:$P$91=P38)*($W$2:$W$91&gt;W38))</f>
        <v>0</v>
      </c>
      <c r="W38">
        <v>37</v>
      </c>
      <c r="X38" t="str">
        <f t="shared" si="9"/>
        <v>Robby van Gruythuysen</v>
      </c>
      <c r="Y38" t="str">
        <f t="shared" si="10"/>
        <v>SVG Den Bosch</v>
      </c>
      <c r="Z38">
        <f t="shared" si="11"/>
        <v>1</v>
      </c>
    </row>
    <row r="39" spans="1:26" x14ac:dyDescent="0.3">
      <c r="A39" t="str">
        <f>Wedstrijden!$I$7</f>
        <v>Gesposs Blauw</v>
      </c>
      <c r="B39">
        <f>'2'!B34</f>
        <v>7</v>
      </c>
      <c r="C39" t="str">
        <f>HLOOKUP(A39,spelerslijsten!$B$1:$J$22,11,FALSE)</f>
        <v>Wout Reininga</v>
      </c>
      <c r="D39">
        <f>'2'!V34</f>
        <v>0</v>
      </c>
      <c r="F39" t="str">
        <f t="shared" si="0"/>
        <v>Gesposs Blauw7Wout Reininga</v>
      </c>
      <c r="G39">
        <f t="shared" si="1"/>
        <v>0</v>
      </c>
      <c r="J39" t="str">
        <f t="shared" si="25"/>
        <v>Gesposs Geel</v>
      </c>
      <c r="K39" s="1">
        <f>HLOOKUP(J39,spelerslijsten!$B$1:$J$22,12,FALSE)</f>
        <v>6</v>
      </c>
      <c r="L39" t="str">
        <f>HLOOKUP(J39,spelerslijsten!$B$1:$J$22,11,FALSE)</f>
        <v>Kevin van Kollenburg</v>
      </c>
      <c r="M39" t="str">
        <f t="shared" si="24"/>
        <v>Gesposs Geel6Kevin van Kollenburg</v>
      </c>
      <c r="N39">
        <f t="shared" si="3"/>
        <v>0</v>
      </c>
      <c r="O39">
        <f t="shared" si="4"/>
        <v>64</v>
      </c>
      <c r="P39" t="str">
        <f t="shared" si="21"/>
        <v>Lincy Ruijs</v>
      </c>
      <c r="Q39" t="str">
        <f t="shared" si="22"/>
        <v>Gesposs Geel</v>
      </c>
      <c r="R39">
        <f t="shared" si="23"/>
        <v>0</v>
      </c>
      <c r="S39">
        <f t="shared" si="8"/>
        <v>44</v>
      </c>
      <c r="T39" cm="1">
        <f t="array" ref="T39">SUMPRODUCT(($R$2:$R$91=R39)*($Q$2:$Q$91&gt;Q39))</f>
        <v>19</v>
      </c>
      <c r="U39" cm="1">
        <f t="array" ref="U39">SUMPRODUCT(($R$2:$R$91=R39)*($Q$2:$Q$91=Q39)*($P$2:$P$91&gt;P39))</f>
        <v>1</v>
      </c>
      <c r="V39" cm="1">
        <f t="array" ref="V39">SUMPRODUCT(($R$2:$R$91=R39)*($Q$2:$Q$91=Q39)*($P$2:$P$91=P39)*($W$2:$W$91&gt;W39))</f>
        <v>0</v>
      </c>
      <c r="W39">
        <v>38</v>
      </c>
      <c r="X39" t="str">
        <f t="shared" si="9"/>
        <v>Lucas van Osch</v>
      </c>
      <c r="Y39" t="str">
        <f t="shared" si="10"/>
        <v>SVG Den Bosch</v>
      </c>
      <c r="Z39">
        <f t="shared" si="11"/>
        <v>1</v>
      </c>
    </row>
    <row r="40" spans="1:26" x14ac:dyDescent="0.3">
      <c r="A40" t="str">
        <f>Wedstrijden!$I$7</f>
        <v>Gesposs Blauw</v>
      </c>
      <c r="B40">
        <f>'2'!B35</f>
        <v>8</v>
      </c>
      <c r="C40" t="str">
        <f>HLOOKUP(A40,spelerslijsten!$B$1:$J$22,13,FALSE)</f>
        <v>Romy Hoed-Venterink</v>
      </c>
      <c r="D40">
        <f>'2'!V35</f>
        <v>1</v>
      </c>
      <c r="F40" t="str">
        <f t="shared" si="0"/>
        <v>Gesposs Blauw8Romy Hoed-Venterink</v>
      </c>
      <c r="G40">
        <f t="shared" si="1"/>
        <v>1</v>
      </c>
      <c r="J40" t="str">
        <f t="shared" si="25"/>
        <v>Gesposs Geel</v>
      </c>
      <c r="K40" s="1">
        <f>HLOOKUP(J40,spelerslijsten!$B$1:$J$22,14,FALSE)</f>
        <v>7</v>
      </c>
      <c r="L40" t="str">
        <f>HLOOKUP(J40,spelerslijsten!$B$1:$J$22,13,FALSE)</f>
        <v>Tim van den Akker</v>
      </c>
      <c r="M40" t="str">
        <f t="shared" si="24"/>
        <v>Gesposs Geel7Tim van den Akker</v>
      </c>
      <c r="N40">
        <f t="shared" si="3"/>
        <v>3</v>
      </c>
      <c r="O40">
        <f t="shared" si="4"/>
        <v>10</v>
      </c>
      <c r="P40" t="str">
        <f t="shared" si="21"/>
        <v>Eef de Ruijter</v>
      </c>
      <c r="Q40" t="str">
        <f t="shared" si="22"/>
        <v>Gesposs Geel</v>
      </c>
      <c r="R40">
        <f t="shared" si="23"/>
        <v>5</v>
      </c>
      <c r="S40">
        <f t="shared" si="8"/>
        <v>10</v>
      </c>
      <c r="T40" cm="1">
        <f t="array" ref="T40">SUMPRODUCT(($R$2:$R$91=R40)*($Q$2:$Q$91&gt;Q40))</f>
        <v>0</v>
      </c>
      <c r="U40" cm="1">
        <f t="array" ref="U40">SUMPRODUCT(($R$2:$R$91=R40)*($Q$2:$Q$91=Q40)*($P$2:$P$91&gt;P40))</f>
        <v>0</v>
      </c>
      <c r="V40" cm="1">
        <f t="array" ref="V40">SUMPRODUCT(($R$2:$R$91=R40)*($Q$2:$Q$91=Q40)*($P$2:$P$91=P40)*($W$2:$W$91&gt;W40))</f>
        <v>0</v>
      </c>
      <c r="W40">
        <v>39</v>
      </c>
      <c r="X40" t="str">
        <f t="shared" si="9"/>
        <v>Bjorn Blom</v>
      </c>
      <c r="Y40" t="str">
        <f t="shared" si="10"/>
        <v>SVG Den Bosch</v>
      </c>
      <c r="Z40">
        <f t="shared" si="11"/>
        <v>1</v>
      </c>
    </row>
    <row r="41" spans="1:26" x14ac:dyDescent="0.3">
      <c r="A41" t="str">
        <f>Wedstrijden!$I$7</f>
        <v>Gesposs Blauw</v>
      </c>
      <c r="B41">
        <f>'2'!B36</f>
        <v>9</v>
      </c>
      <c r="C41" t="str">
        <f>HLOOKUP(A41,spelerslijsten!$B$1:$J$22,15,FALSE)</f>
        <v>Marieke van Namen</v>
      </c>
      <c r="D41">
        <f>'2'!V36</f>
        <v>1</v>
      </c>
      <c r="F41" t="str">
        <f t="shared" si="0"/>
        <v>Gesposs Blauw9Marieke van Namen</v>
      </c>
      <c r="G41">
        <f t="shared" si="1"/>
        <v>1</v>
      </c>
      <c r="J41" t="str">
        <f t="shared" si="25"/>
        <v>Gesposs Geel</v>
      </c>
      <c r="K41" s="1">
        <f>HLOOKUP(J41,spelerslijsten!$B$1:$J$22,16,FALSE)</f>
        <v>8</v>
      </c>
      <c r="L41" t="str">
        <f>HLOOKUP(J41,spelerslijsten!$B$1:$J$22,15,FALSE)</f>
        <v>Marloes Beks-Geurts</v>
      </c>
      <c r="M41" t="str">
        <f t="shared" si="24"/>
        <v>Gesposs Geel8Marloes Beks-Geurts</v>
      </c>
      <c r="N41">
        <f t="shared" si="3"/>
        <v>0</v>
      </c>
      <c r="O41">
        <f t="shared" si="4"/>
        <v>67</v>
      </c>
      <c r="P41" t="str">
        <f t="shared" si="21"/>
        <v>Finn van der Krift</v>
      </c>
      <c r="Q41" t="str">
        <f t="shared" si="22"/>
        <v>Gesposs Geel</v>
      </c>
      <c r="R41">
        <f t="shared" si="23"/>
        <v>0</v>
      </c>
      <c r="S41">
        <f t="shared" si="8"/>
        <v>44</v>
      </c>
      <c r="T41" cm="1">
        <f t="array" ref="T41">SUMPRODUCT(($R$2:$R$91=R41)*($Q$2:$Q$91&gt;Q41))</f>
        <v>19</v>
      </c>
      <c r="U41" cm="1">
        <f t="array" ref="U41">SUMPRODUCT(($R$2:$R$91=R41)*($Q$2:$Q$91=Q41)*($P$2:$P$91&gt;P41))</f>
        <v>4</v>
      </c>
      <c r="V41" cm="1">
        <f t="array" ref="V41">SUMPRODUCT(($R$2:$R$91=R41)*($Q$2:$Q$91=Q41)*($P$2:$P$91=P41)*($W$2:$W$91&gt;W41))</f>
        <v>0</v>
      </c>
      <c r="W41">
        <v>40</v>
      </c>
      <c r="X41" t="str">
        <f t="shared" si="9"/>
        <v>Sonja Bouten</v>
      </c>
      <c r="Y41" t="str">
        <f t="shared" si="10"/>
        <v>RZ Roermond</v>
      </c>
      <c r="Z41">
        <f t="shared" si="11"/>
        <v>1</v>
      </c>
    </row>
    <row r="42" spans="1:26" x14ac:dyDescent="0.3">
      <c r="A42" t="str">
        <f>Wedstrijden!$I$7</f>
        <v>Gesposs Blauw</v>
      </c>
      <c r="B42">
        <f>'2'!B37</f>
        <v>10</v>
      </c>
      <c r="C42" t="str">
        <f>HLOOKUP(A42,spelerslijsten!$B$1:$J$22,17,FALSE)</f>
        <v>Manon Dekkers</v>
      </c>
      <c r="D42">
        <f>'2'!V37</f>
        <v>0</v>
      </c>
      <c r="F42" t="str">
        <f t="shared" si="0"/>
        <v>Gesposs Blauw10Manon Dekkers</v>
      </c>
      <c r="G42">
        <f t="shared" si="1"/>
        <v>0</v>
      </c>
      <c r="J42" t="str">
        <f t="shared" si="25"/>
        <v>Gesposs Geel</v>
      </c>
      <c r="K42" s="1">
        <f>HLOOKUP(J42,spelerslijsten!$B$1:$J$22,18,FALSE)</f>
        <v>9</v>
      </c>
      <c r="L42" t="str">
        <f>HLOOKUP(J42,spelerslijsten!$B$1:$J$22,17,FALSE)</f>
        <v>Lincy Ruijs</v>
      </c>
      <c r="M42" t="str">
        <f t="shared" si="24"/>
        <v>Gesposs Geel9Lincy Ruijs</v>
      </c>
      <c r="N42">
        <f t="shared" si="3"/>
        <v>0</v>
      </c>
      <c r="O42">
        <f t="shared" si="4"/>
        <v>71</v>
      </c>
      <c r="P42" t="str">
        <f t="shared" ref="P42:P51" si="26">L46</f>
        <v>Jack Steeghs</v>
      </c>
      <c r="Q42" t="str">
        <f t="shared" ref="Q42:Q51" si="27">J46</f>
        <v>Gesposs Blauw</v>
      </c>
      <c r="R42">
        <f t="shared" ref="R42:R51" si="28">N46</f>
        <v>0</v>
      </c>
      <c r="S42">
        <f t="shared" si="8"/>
        <v>44</v>
      </c>
      <c r="T42" cm="1">
        <f t="array" ref="T42">SUMPRODUCT(($R$2:$R$91=R42)*($Q$2:$Q$91&gt;Q42))</f>
        <v>24</v>
      </c>
      <c r="U42" cm="1">
        <f t="array" ref="U42">SUMPRODUCT(($R$2:$R$91=R42)*($Q$2:$Q$91=Q42)*($P$2:$P$91&gt;P42))</f>
        <v>3</v>
      </c>
      <c r="V42" cm="1">
        <f t="array" ref="V42">SUMPRODUCT(($R$2:$R$91=R42)*($Q$2:$Q$91=Q42)*($P$2:$P$91=P42)*($W$2:$W$91&gt;W42))</f>
        <v>0</v>
      </c>
      <c r="W42">
        <v>41</v>
      </c>
      <c r="X42" t="str">
        <f t="shared" si="9"/>
        <v>Kevin van Boekel</v>
      </c>
      <c r="Y42" t="str">
        <f t="shared" si="10"/>
        <v>Gesposs Geel</v>
      </c>
      <c r="Z42">
        <f t="shared" si="11"/>
        <v>1</v>
      </c>
    </row>
    <row r="43" spans="1:26" x14ac:dyDescent="0.3">
      <c r="A43" t="str">
        <f>Wedstrijden!$I$7</f>
        <v>Gesposs Blauw</v>
      </c>
      <c r="B43">
        <f>'2'!B38</f>
        <v>11</v>
      </c>
      <c r="C43" t="str">
        <f>HLOOKUP(A43,spelerslijsten!$B$1:$J$22,19,FALSE)</f>
        <v>Celine van de Heuvel</v>
      </c>
      <c r="D43">
        <f>'2'!V38</f>
        <v>0</v>
      </c>
      <c r="F43" t="str">
        <f t="shared" si="0"/>
        <v>Gesposs Blauw11Celine van de Heuvel</v>
      </c>
      <c r="G43">
        <f t="shared" si="1"/>
        <v>0</v>
      </c>
      <c r="J43" t="str">
        <f t="shared" si="25"/>
        <v>Gesposs Geel</v>
      </c>
      <c r="K43" s="1">
        <f>HLOOKUP(J43,spelerslijsten!$B$1:$J$22,20,FALSE)</f>
        <v>10</v>
      </c>
      <c r="L43" t="str">
        <f>HLOOKUP(J43,spelerslijsten!$B$1:$J$22,19,FALSE)</f>
        <v>Eef de Ruijter</v>
      </c>
      <c r="M43" t="str">
        <f t="shared" si="24"/>
        <v>Gesposs Geel10Eef de Ruijter</v>
      </c>
      <c r="N43">
        <f t="shared" si="3"/>
        <v>5</v>
      </c>
      <c r="O43">
        <f t="shared" si="4"/>
        <v>69</v>
      </c>
      <c r="P43" t="str">
        <f t="shared" si="26"/>
        <v>Niels Venterink</v>
      </c>
      <c r="Q43" t="str">
        <f t="shared" si="27"/>
        <v>Gesposs Blauw</v>
      </c>
      <c r="R43">
        <f t="shared" si="28"/>
        <v>0</v>
      </c>
      <c r="S43">
        <f t="shared" si="8"/>
        <v>44</v>
      </c>
      <c r="T43" cm="1">
        <f t="array" ref="T43">SUMPRODUCT(($R$2:$R$91=R43)*($Q$2:$Q$91&gt;Q43))</f>
        <v>24</v>
      </c>
      <c r="U43" cm="1">
        <f t="array" ref="U43">SUMPRODUCT(($R$2:$R$91=R43)*($Q$2:$Q$91=Q43)*($P$2:$P$91&gt;P43))</f>
        <v>1</v>
      </c>
      <c r="V43" cm="1">
        <f t="array" ref="V43">SUMPRODUCT(($R$2:$R$91=R43)*($Q$2:$Q$91=Q43)*($P$2:$P$91=P43)*($W$2:$W$91&gt;W43))</f>
        <v>0</v>
      </c>
      <c r="W43">
        <v>42</v>
      </c>
      <c r="X43" t="str">
        <f t="shared" si="9"/>
        <v>Joran van Achteren</v>
      </c>
      <c r="Y43" t="str">
        <f t="shared" si="10"/>
        <v>De Tubanten 2</v>
      </c>
      <c r="Z43">
        <f t="shared" si="11"/>
        <v>1</v>
      </c>
    </row>
    <row r="44" spans="1:26" x14ac:dyDescent="0.3">
      <c r="A44" t="str">
        <f>Wedstrijden!$I$7</f>
        <v>Gesposs Blauw</v>
      </c>
      <c r="B44" t="str">
        <f>'2'!B39</f>
        <v/>
      </c>
      <c r="C44">
        <f>HLOOKUP(A44,spelerslijsten!$B$1:$J$22,21,FALSE)</f>
        <v>0</v>
      </c>
      <c r="D44">
        <f>'2'!V39</f>
        <v>0</v>
      </c>
      <c r="F44" t="str">
        <f t="shared" si="0"/>
        <v>Gesposs Blauw0</v>
      </c>
      <c r="G44">
        <f t="shared" si="1"/>
        <v>0</v>
      </c>
      <c r="J44" t="str">
        <f t="shared" si="25"/>
        <v>Gesposs Geel</v>
      </c>
      <c r="K44" s="1">
        <f>HLOOKUP(J44,spelerslijsten!$B$1:$J$22,22,FALSE)</f>
        <v>11</v>
      </c>
      <c r="L44" t="str">
        <f>HLOOKUP(J44,spelerslijsten!$B$1:$J$22,21,FALSE)</f>
        <v>Finn van der Krift</v>
      </c>
      <c r="M44" t="str">
        <f t="shared" si="24"/>
        <v>Gesposs Geel11Finn van der Krift</v>
      </c>
      <c r="N44">
        <f t="shared" si="3"/>
        <v>0</v>
      </c>
      <c r="O44">
        <f t="shared" si="4"/>
        <v>68</v>
      </c>
      <c r="P44" t="str">
        <f t="shared" si="26"/>
        <v>Wendy Kuysters</v>
      </c>
      <c r="Q44" t="str">
        <f t="shared" si="27"/>
        <v>Gesposs Blauw</v>
      </c>
      <c r="R44">
        <f t="shared" si="28"/>
        <v>0</v>
      </c>
      <c r="S44">
        <f t="shared" si="8"/>
        <v>44</v>
      </c>
      <c r="T44" cm="1">
        <f t="array" ref="T44">SUMPRODUCT(($R$2:$R$91=R44)*($Q$2:$Q$91&gt;Q44))</f>
        <v>24</v>
      </c>
      <c r="U44" cm="1">
        <f t="array" ref="U44">SUMPRODUCT(($R$2:$R$91=R44)*($Q$2:$Q$91=Q44)*($P$2:$P$91&gt;P44))</f>
        <v>0</v>
      </c>
      <c r="V44" cm="1">
        <f t="array" ref="V44">SUMPRODUCT(($R$2:$R$91=R44)*($Q$2:$Q$91=Q44)*($P$2:$P$91=P44)*($W$2:$W$91&gt;W44))</f>
        <v>0</v>
      </c>
      <c r="W44">
        <v>43</v>
      </c>
      <c r="X44" t="str">
        <f t="shared" si="9"/>
        <v>Mark van der Heijden (leen)</v>
      </c>
      <c r="Y44" t="str">
        <f t="shared" si="10"/>
        <v>Aqua Novio</v>
      </c>
      <c r="Z44">
        <f t="shared" si="11"/>
        <v>1</v>
      </c>
    </row>
    <row r="45" spans="1:26" x14ac:dyDescent="0.3">
      <c r="A45" t="s">
        <v>82</v>
      </c>
      <c r="F45" t="str">
        <f t="shared" si="0"/>
        <v>Wed 3</v>
      </c>
      <c r="G45">
        <f t="shared" si="1"/>
        <v>0</v>
      </c>
      <c r="O45">
        <f t="shared" si="4"/>
        <v>70</v>
      </c>
      <c r="P45" t="str">
        <f t="shared" si="26"/>
        <v>Kristel Henst</v>
      </c>
      <c r="Q45" t="str">
        <f t="shared" si="27"/>
        <v>Gesposs Blauw</v>
      </c>
      <c r="R45">
        <f t="shared" si="28"/>
        <v>0</v>
      </c>
      <c r="S45">
        <f t="shared" si="8"/>
        <v>44</v>
      </c>
      <c r="T45" cm="1">
        <f t="array" ref="T45">SUMPRODUCT(($R$2:$R$91=R45)*($Q$2:$Q$91&gt;Q45))</f>
        <v>24</v>
      </c>
      <c r="U45" cm="1">
        <f t="array" ref="U45">SUMPRODUCT(($R$2:$R$91=R45)*($Q$2:$Q$91=Q45)*($P$2:$P$91&gt;P45))</f>
        <v>2</v>
      </c>
      <c r="V45" cm="1">
        <f t="array" ref="V45">SUMPRODUCT(($R$2:$R$91=R45)*($Q$2:$Q$91=Q45)*($P$2:$P$91=P45)*($W$2:$W$91&gt;W45))</f>
        <v>0</v>
      </c>
      <c r="W45">
        <v>44</v>
      </c>
      <c r="X45" t="str">
        <f t="shared" si="9"/>
        <v>Willy van Grunsven</v>
      </c>
      <c r="Y45" t="str">
        <f t="shared" si="10"/>
        <v>VZ&amp;PC Nautilus 2</v>
      </c>
      <c r="Z45">
        <f t="shared" si="11"/>
        <v>0</v>
      </c>
    </row>
    <row r="46" spans="1:26" x14ac:dyDescent="0.3">
      <c r="A46" t="str">
        <f>Wedstrijden!E8</f>
        <v>Gesposs Geel</v>
      </c>
      <c r="B46">
        <f>'3'!B14</f>
        <v>2</v>
      </c>
      <c r="C46" t="str">
        <f>HLOOKUP(A46,spelerslijsten!$B$1:$J$22,3,FALSE)</f>
        <v>Jasper van Houtum</v>
      </c>
      <c r="D46">
        <f>'3'!V14</f>
        <v>0</v>
      </c>
      <c r="F46" t="str">
        <f t="shared" si="0"/>
        <v>Gesposs Geel2Jasper van Houtum</v>
      </c>
      <c r="G46">
        <f t="shared" si="1"/>
        <v>0</v>
      </c>
      <c r="J46" t="str">
        <f>spelerslijsten!F1</f>
        <v>Gesposs Blauw</v>
      </c>
      <c r="K46" s="1">
        <f>HLOOKUP(J46,spelerslijsten!$B$1:$J$22,4,FALSE)</f>
        <v>2</v>
      </c>
      <c r="L46" t="str">
        <f>HLOOKUP(J46,spelerslijsten!$B$1:$J$22,3,FALSE)</f>
        <v>Jack Steeghs</v>
      </c>
      <c r="M46" t="str">
        <f t="shared" ref="M46" si="29">CONCATENATE(J46&amp;K46&amp;L46)</f>
        <v>Gesposs Blauw2Jack Steeghs</v>
      </c>
      <c r="N46">
        <f t="shared" si="3"/>
        <v>0</v>
      </c>
      <c r="O46">
        <f t="shared" si="4"/>
        <v>6</v>
      </c>
      <c r="P46" t="str">
        <f t="shared" si="26"/>
        <v>Wout Reininga</v>
      </c>
      <c r="Q46" t="str">
        <f t="shared" si="27"/>
        <v>Gesposs Blauw</v>
      </c>
      <c r="R46">
        <f t="shared" si="28"/>
        <v>6</v>
      </c>
      <c r="S46">
        <f t="shared" si="8"/>
        <v>5</v>
      </c>
      <c r="T46" cm="1">
        <f t="array" ref="T46">SUMPRODUCT(($R$2:$R$91=R46)*($Q$2:$Q$91&gt;Q46))</f>
        <v>1</v>
      </c>
      <c r="U46" cm="1">
        <f t="array" ref="U46">SUMPRODUCT(($R$2:$R$91=R46)*($Q$2:$Q$91=Q46)*($P$2:$P$91&gt;P46))</f>
        <v>0</v>
      </c>
      <c r="V46" cm="1">
        <f t="array" ref="V46">SUMPRODUCT(($R$2:$R$91=R46)*($Q$2:$Q$91=Q46)*($P$2:$P$91=P46)*($W$2:$W$91&gt;W46))</f>
        <v>0</v>
      </c>
      <c r="W46">
        <v>45</v>
      </c>
      <c r="X46" t="str">
        <f t="shared" si="9"/>
        <v>Manuel Bastiaans</v>
      </c>
      <c r="Y46" t="str">
        <f t="shared" si="10"/>
        <v>VZ&amp;PC Nautilus 2</v>
      </c>
      <c r="Z46">
        <f t="shared" si="11"/>
        <v>0</v>
      </c>
    </row>
    <row r="47" spans="1:26" x14ac:dyDescent="0.3">
      <c r="A47" t="str">
        <f>A46</f>
        <v>Gesposs Geel</v>
      </c>
      <c r="B47">
        <f>'3'!B15</f>
        <v>3</v>
      </c>
      <c r="C47" t="str">
        <f>HLOOKUP(A47,spelerslijsten!$B$1:$J$22,5,FALSE)</f>
        <v>Arjan Dulos</v>
      </c>
      <c r="D47">
        <f>'3'!V15</f>
        <v>0</v>
      </c>
      <c r="F47" t="str">
        <f t="shared" si="0"/>
        <v>Gesposs Geel3Arjan Dulos</v>
      </c>
      <c r="G47">
        <f t="shared" si="1"/>
        <v>0</v>
      </c>
      <c r="J47" t="str">
        <f>J46</f>
        <v>Gesposs Blauw</v>
      </c>
      <c r="K47" s="1">
        <f>HLOOKUP(J47,spelerslijsten!$B$1:$J$22,6,FALSE)</f>
        <v>3</v>
      </c>
      <c r="L47" t="str">
        <f>HLOOKUP(J47,spelerslijsten!$B$1:$J$22,5,FALSE)</f>
        <v>Niels Venterink</v>
      </c>
      <c r="M47" t="str">
        <f t="shared" ref="M47:M55" si="30">CONCATENATE(J47&amp;K47&amp;L47)</f>
        <v>Gesposs Blauw3Niels Venterink</v>
      </c>
      <c r="N47">
        <f t="shared" si="3"/>
        <v>0</v>
      </c>
      <c r="O47">
        <f t="shared" si="4"/>
        <v>2</v>
      </c>
      <c r="P47" t="str">
        <f t="shared" si="26"/>
        <v>Romy Hoed-Venterink</v>
      </c>
      <c r="Q47" t="str">
        <f t="shared" si="27"/>
        <v>Gesposs Blauw</v>
      </c>
      <c r="R47">
        <f t="shared" si="28"/>
        <v>15</v>
      </c>
      <c r="S47">
        <f t="shared" si="8"/>
        <v>2</v>
      </c>
      <c r="T47" cm="1">
        <f t="array" ref="T47">SUMPRODUCT(($R$2:$R$91=R47)*($Q$2:$Q$91&gt;Q47))</f>
        <v>0</v>
      </c>
      <c r="U47" cm="1">
        <f t="array" ref="U47">SUMPRODUCT(($R$2:$R$91=R47)*($Q$2:$Q$91=Q47)*($P$2:$P$91&gt;P47))</f>
        <v>0</v>
      </c>
      <c r="V47" cm="1">
        <f t="array" ref="V47">SUMPRODUCT(($R$2:$R$91=R47)*($Q$2:$Q$91=Q47)*($P$2:$P$91=P47)*($W$2:$W$91&gt;W47))</f>
        <v>0</v>
      </c>
      <c r="W47">
        <v>46</v>
      </c>
      <c r="X47" t="str">
        <f t="shared" si="9"/>
        <v>Anja Braken</v>
      </c>
      <c r="Y47" t="str">
        <f t="shared" si="10"/>
        <v>VZ&amp;PC Nautilus 2</v>
      </c>
      <c r="Z47">
        <f t="shared" si="11"/>
        <v>0</v>
      </c>
    </row>
    <row r="48" spans="1:26" x14ac:dyDescent="0.3">
      <c r="A48" t="str">
        <f t="shared" ref="A48:A55" si="31">A47</f>
        <v>Gesposs Geel</v>
      </c>
      <c r="B48">
        <f>'3'!B16</f>
        <v>4</v>
      </c>
      <c r="C48" t="str">
        <f>HLOOKUP(A48,spelerslijsten!$B$1:$J$22,7,FALSE)</f>
        <v>Kim Wolf</v>
      </c>
      <c r="D48">
        <f>'3'!V16</f>
        <v>0</v>
      </c>
      <c r="F48" t="str">
        <f t="shared" si="0"/>
        <v>Gesposs Geel4Kim Wolf</v>
      </c>
      <c r="G48">
        <f t="shared" si="1"/>
        <v>0</v>
      </c>
      <c r="J48" t="str">
        <f t="shared" ref="J48:J55" si="32">J47</f>
        <v>Gesposs Blauw</v>
      </c>
      <c r="K48" s="1">
        <f>HLOOKUP(J48,spelerslijsten!$B$1:$J$22,8,FALSE)</f>
        <v>4</v>
      </c>
      <c r="L48" t="str">
        <f>HLOOKUP(J48,spelerslijsten!$B$1:$J$22,7,FALSE)</f>
        <v>Wendy Kuysters</v>
      </c>
      <c r="M48" t="str">
        <f t="shared" si="30"/>
        <v>Gesposs Blauw4Wendy Kuysters</v>
      </c>
      <c r="N48">
        <f t="shared" si="3"/>
        <v>0</v>
      </c>
      <c r="O48">
        <f t="shared" si="4"/>
        <v>30</v>
      </c>
      <c r="P48" t="str">
        <f t="shared" si="26"/>
        <v>Marieke van Namen</v>
      </c>
      <c r="Q48" t="str">
        <f t="shared" si="27"/>
        <v>Gesposs Blauw</v>
      </c>
      <c r="R48">
        <f t="shared" si="28"/>
        <v>2</v>
      </c>
      <c r="S48">
        <f t="shared" si="8"/>
        <v>26</v>
      </c>
      <c r="T48" cm="1">
        <f t="array" ref="T48">SUMPRODUCT(($R$2:$R$91=R48)*($Q$2:$Q$91&gt;Q48))</f>
        <v>4</v>
      </c>
      <c r="U48" cm="1">
        <f t="array" ref="U48">SUMPRODUCT(($R$2:$R$91=R48)*($Q$2:$Q$91=Q48)*($P$2:$P$91&gt;P48))</f>
        <v>0</v>
      </c>
      <c r="V48" cm="1">
        <f t="array" ref="V48">SUMPRODUCT(($R$2:$R$91=R48)*($Q$2:$Q$91=Q48)*($P$2:$P$91=P48)*($W$2:$W$91&gt;W48))</f>
        <v>0</v>
      </c>
      <c r="W48">
        <v>47</v>
      </c>
      <c r="X48">
        <f t="shared" si="9"/>
        <v>0</v>
      </c>
      <c r="Y48" t="str">
        <f t="shared" si="10"/>
        <v>VZ&amp;PC Nautilus 2</v>
      </c>
      <c r="Z48">
        <f t="shared" si="11"/>
        <v>0</v>
      </c>
    </row>
    <row r="49" spans="1:26" x14ac:dyDescent="0.3">
      <c r="A49" t="str">
        <f t="shared" si="31"/>
        <v>Gesposs Geel</v>
      </c>
      <c r="B49">
        <f>'3'!B17</f>
        <v>5</v>
      </c>
      <c r="C49" t="str">
        <f>HLOOKUP(A49,spelerslijsten!$B$1:$J$22,9,FALSE)</f>
        <v>Kevin van Boekel</v>
      </c>
      <c r="D49">
        <f>'3'!V17</f>
        <v>0</v>
      </c>
      <c r="F49" t="str">
        <f t="shared" si="0"/>
        <v>Gesposs Geel5Kevin van Boekel</v>
      </c>
      <c r="G49">
        <f t="shared" si="1"/>
        <v>0</v>
      </c>
      <c r="J49" t="str">
        <f t="shared" si="32"/>
        <v>Gesposs Blauw</v>
      </c>
      <c r="K49" s="1">
        <f>HLOOKUP(J49,spelerslijsten!$B$1:$J$22,10,FALSE)</f>
        <v>6</v>
      </c>
      <c r="L49" t="str">
        <f>HLOOKUP(J49,spelerslijsten!$B$1:$J$22,9,FALSE)</f>
        <v>Kristel Henst</v>
      </c>
      <c r="M49" t="str">
        <f t="shared" si="30"/>
        <v>Gesposs Blauw6Kristel Henst</v>
      </c>
      <c r="N49">
        <f t="shared" si="3"/>
        <v>0</v>
      </c>
      <c r="O49">
        <f t="shared" si="4"/>
        <v>7</v>
      </c>
      <c r="P49" t="str">
        <f t="shared" si="26"/>
        <v>Manon Dekkers</v>
      </c>
      <c r="Q49" t="str">
        <f t="shared" si="27"/>
        <v>Gesposs Blauw</v>
      </c>
      <c r="R49">
        <f t="shared" si="28"/>
        <v>6</v>
      </c>
      <c r="S49">
        <f t="shared" si="8"/>
        <v>5</v>
      </c>
      <c r="T49" cm="1">
        <f t="array" ref="T49">SUMPRODUCT(($R$2:$R$91=R49)*($Q$2:$Q$91&gt;Q49))</f>
        <v>1</v>
      </c>
      <c r="U49" cm="1">
        <f t="array" ref="U49">SUMPRODUCT(($R$2:$R$91=R49)*($Q$2:$Q$91=Q49)*($P$2:$P$91&gt;P49))</f>
        <v>1</v>
      </c>
      <c r="V49" cm="1">
        <f t="array" ref="V49">SUMPRODUCT(($R$2:$R$91=R49)*($Q$2:$Q$91=Q49)*($P$2:$P$91=P49)*($W$2:$W$91&gt;W49))</f>
        <v>0</v>
      </c>
      <c r="W49">
        <v>48</v>
      </c>
      <c r="X49">
        <f t="shared" si="9"/>
        <v>0</v>
      </c>
      <c r="Y49" t="str">
        <f t="shared" si="10"/>
        <v>VZ&amp;PC Nautilus 2</v>
      </c>
      <c r="Z49">
        <f t="shared" si="11"/>
        <v>0</v>
      </c>
    </row>
    <row r="50" spans="1:26" x14ac:dyDescent="0.3">
      <c r="A50" t="str">
        <f t="shared" si="31"/>
        <v>Gesposs Geel</v>
      </c>
      <c r="B50">
        <f>'3'!B18</f>
        <v>6</v>
      </c>
      <c r="C50" t="str">
        <f>HLOOKUP(A50,spelerslijsten!$B$1:$J$22,11,FALSE)</f>
        <v>Kevin van Kollenburg</v>
      </c>
      <c r="D50">
        <f>'3'!V18</f>
        <v>0</v>
      </c>
      <c r="F50" t="str">
        <f t="shared" si="0"/>
        <v>Gesposs Geel6Kevin van Kollenburg</v>
      </c>
      <c r="G50">
        <f t="shared" si="1"/>
        <v>0</v>
      </c>
      <c r="J50" t="str">
        <f t="shared" si="32"/>
        <v>Gesposs Blauw</v>
      </c>
      <c r="K50" s="1">
        <f>HLOOKUP(J50,spelerslijsten!$B$1:$J$22,12,FALSE)</f>
        <v>7</v>
      </c>
      <c r="L50" t="str">
        <f>HLOOKUP(J50,spelerslijsten!$B$1:$J$22,11,FALSE)</f>
        <v>Wout Reininga</v>
      </c>
      <c r="M50" t="str">
        <f t="shared" si="30"/>
        <v>Gesposs Blauw7Wout Reininga</v>
      </c>
      <c r="N50">
        <f t="shared" si="3"/>
        <v>6</v>
      </c>
      <c r="O50">
        <f t="shared" si="4"/>
        <v>31</v>
      </c>
      <c r="P50" t="str">
        <f t="shared" si="26"/>
        <v>Celine van de Heuvel</v>
      </c>
      <c r="Q50" t="str">
        <f t="shared" si="27"/>
        <v>Gesposs Blauw</v>
      </c>
      <c r="R50">
        <f t="shared" si="28"/>
        <v>2</v>
      </c>
      <c r="S50">
        <f t="shared" si="8"/>
        <v>26</v>
      </c>
      <c r="T50" cm="1">
        <f t="array" ref="T50">SUMPRODUCT(($R$2:$R$91=R50)*($Q$2:$Q$91&gt;Q50))</f>
        <v>4</v>
      </c>
      <c r="U50" cm="1">
        <f t="array" ref="U50">SUMPRODUCT(($R$2:$R$91=R50)*($Q$2:$Q$91=Q50)*($P$2:$P$91&gt;P50))</f>
        <v>1</v>
      </c>
      <c r="V50" cm="1">
        <f t="array" ref="V50">SUMPRODUCT(($R$2:$R$91=R50)*($Q$2:$Q$91=Q50)*($P$2:$P$91=P50)*($W$2:$W$91&gt;W50))</f>
        <v>0</v>
      </c>
      <c r="W50">
        <v>49</v>
      </c>
      <c r="X50">
        <f t="shared" si="9"/>
        <v>0</v>
      </c>
      <c r="Y50" t="str">
        <f t="shared" si="10"/>
        <v>VZ&amp;PC Nautilus 2</v>
      </c>
      <c r="Z50">
        <f t="shared" si="11"/>
        <v>0</v>
      </c>
    </row>
    <row r="51" spans="1:26" x14ac:dyDescent="0.3">
      <c r="A51" t="str">
        <f t="shared" si="31"/>
        <v>Gesposs Geel</v>
      </c>
      <c r="B51">
        <f>'3'!B19</f>
        <v>7</v>
      </c>
      <c r="C51" t="str">
        <f>HLOOKUP(A51,spelerslijsten!$B$1:$J$22,13,FALSE)</f>
        <v>Tim van den Akker</v>
      </c>
      <c r="D51">
        <f>'3'!V19</f>
        <v>0</v>
      </c>
      <c r="F51" t="str">
        <f t="shared" si="0"/>
        <v>Gesposs Geel7Tim van den Akker</v>
      </c>
      <c r="G51">
        <f t="shared" si="1"/>
        <v>0</v>
      </c>
      <c r="J51" t="str">
        <f t="shared" si="32"/>
        <v>Gesposs Blauw</v>
      </c>
      <c r="K51" s="1">
        <f>HLOOKUP(J51,spelerslijsten!$B$1:$J$22,14,FALSE)</f>
        <v>8</v>
      </c>
      <c r="L51" t="str">
        <f>HLOOKUP(J51,spelerslijsten!$B$1:$J$22,13,FALSE)</f>
        <v>Romy Hoed-Venterink</v>
      </c>
      <c r="M51" t="str">
        <f t="shared" si="30"/>
        <v>Gesposs Blauw8Romy Hoed-Venterink</v>
      </c>
      <c r="N51">
        <f t="shared" si="3"/>
        <v>15</v>
      </c>
      <c r="O51">
        <f t="shared" si="4"/>
        <v>72</v>
      </c>
      <c r="P51">
        <f t="shared" si="26"/>
        <v>0</v>
      </c>
      <c r="Q51" t="str">
        <f t="shared" si="27"/>
        <v>Gesposs Blauw</v>
      </c>
      <c r="R51">
        <f t="shared" si="28"/>
        <v>0</v>
      </c>
      <c r="S51">
        <f t="shared" si="8"/>
        <v>44</v>
      </c>
      <c r="T51" cm="1">
        <f t="array" ref="T51">SUMPRODUCT(($R$2:$R$91=R51)*($Q$2:$Q$91&gt;Q51))</f>
        <v>24</v>
      </c>
      <c r="U51" cm="1">
        <f t="array" ref="U51">SUMPRODUCT(($R$2:$R$91=R51)*($Q$2:$Q$91=Q51)*($P$2:$P$91&gt;P51))</f>
        <v>4</v>
      </c>
      <c r="V51" cm="1">
        <f t="array" ref="V51">SUMPRODUCT(($R$2:$R$91=R51)*($Q$2:$Q$91=Q51)*($P$2:$P$91=P51)*($W$2:$W$91&gt;W51))</f>
        <v>0</v>
      </c>
      <c r="W51">
        <v>50</v>
      </c>
      <c r="X51" t="str">
        <f t="shared" si="9"/>
        <v>Miranda van Schaijk</v>
      </c>
      <c r="Y51" t="str">
        <f t="shared" si="10"/>
        <v>VZ&amp;PC Nautilus 1</v>
      </c>
      <c r="Z51">
        <f t="shared" si="11"/>
        <v>0</v>
      </c>
    </row>
    <row r="52" spans="1:26" x14ac:dyDescent="0.3">
      <c r="A52" t="str">
        <f t="shared" si="31"/>
        <v>Gesposs Geel</v>
      </c>
      <c r="B52">
        <f>'3'!B20</f>
        <v>8</v>
      </c>
      <c r="C52" t="str">
        <f>HLOOKUP(A52,spelerslijsten!$B$1:$J$22,15,FALSE)</f>
        <v>Marloes Beks-Geurts</v>
      </c>
      <c r="D52">
        <f>'3'!V20</f>
        <v>0</v>
      </c>
      <c r="F52" t="str">
        <f t="shared" si="0"/>
        <v>Gesposs Geel8Marloes Beks-Geurts</v>
      </c>
      <c r="G52">
        <f t="shared" si="1"/>
        <v>0</v>
      </c>
      <c r="J52" t="str">
        <f t="shared" si="32"/>
        <v>Gesposs Blauw</v>
      </c>
      <c r="K52" s="1">
        <f>HLOOKUP(J52,spelerslijsten!$B$1:$J$22,16,FALSE)</f>
        <v>9</v>
      </c>
      <c r="L52" t="str">
        <f>HLOOKUP(J52,spelerslijsten!$B$1:$J$22,15,FALSE)</f>
        <v>Marieke van Namen</v>
      </c>
      <c r="M52" t="str">
        <f t="shared" si="30"/>
        <v>Gesposs Blauw9Marieke van Namen</v>
      </c>
      <c r="N52">
        <f t="shared" si="3"/>
        <v>2</v>
      </c>
      <c r="O52">
        <f t="shared" si="4"/>
        <v>39</v>
      </c>
      <c r="P52" t="str">
        <f t="shared" ref="P52:P61" si="33">L57</f>
        <v>Bjorn Blom</v>
      </c>
      <c r="Q52" t="str">
        <f t="shared" ref="Q52:Q61" si="34">J57</f>
        <v>SVG Den Bosch</v>
      </c>
      <c r="R52">
        <f t="shared" ref="R52:R61" si="35">N57</f>
        <v>1</v>
      </c>
      <c r="S52">
        <f t="shared" si="8"/>
        <v>32</v>
      </c>
      <c r="T52" cm="1">
        <f t="array" ref="T52">SUMPRODUCT(($R$2:$R$91=R52)*($Q$2:$Q$91&gt;Q52))</f>
        <v>5</v>
      </c>
      <c r="U52" cm="1">
        <f t="array" ref="U52">SUMPRODUCT(($R$2:$R$91=R52)*($Q$2:$Q$91=Q52)*($P$2:$P$91&gt;P52))</f>
        <v>2</v>
      </c>
      <c r="V52" cm="1">
        <f t="array" ref="V52">SUMPRODUCT(($R$2:$R$91=R52)*($Q$2:$Q$91=Q52)*($P$2:$P$91=P52)*($W$2:$W$91&gt;W52))</f>
        <v>0</v>
      </c>
      <c r="W52">
        <v>51</v>
      </c>
      <c r="X52">
        <f t="shared" si="9"/>
        <v>0</v>
      </c>
      <c r="Y52" t="str">
        <f t="shared" si="10"/>
        <v>VZ&amp;PC Nautilus 1</v>
      </c>
      <c r="Z52">
        <f t="shared" si="11"/>
        <v>0</v>
      </c>
    </row>
    <row r="53" spans="1:26" x14ac:dyDescent="0.3">
      <c r="A53" t="str">
        <f t="shared" si="31"/>
        <v>Gesposs Geel</v>
      </c>
      <c r="B53">
        <f>'3'!B21</f>
        <v>9</v>
      </c>
      <c r="C53" t="str">
        <f>HLOOKUP(A53,spelerslijsten!$B$1:$J$22,17,FALSE)</f>
        <v>Lincy Ruijs</v>
      </c>
      <c r="D53">
        <f>'3'!V21</f>
        <v>0</v>
      </c>
      <c r="F53" t="str">
        <f t="shared" si="0"/>
        <v>Gesposs Geel9Lincy Ruijs</v>
      </c>
      <c r="G53">
        <f t="shared" si="1"/>
        <v>0</v>
      </c>
      <c r="J53" t="str">
        <f t="shared" si="32"/>
        <v>Gesposs Blauw</v>
      </c>
      <c r="K53" s="1">
        <f>HLOOKUP(J53,spelerslijsten!$B$1:$J$22,18,FALSE)</f>
        <v>10</v>
      </c>
      <c r="L53" t="str">
        <f>HLOOKUP(J53,spelerslijsten!$B$1:$J$22,17,FALSE)</f>
        <v>Manon Dekkers</v>
      </c>
      <c r="M53" t="str">
        <f t="shared" si="30"/>
        <v>Gesposs Blauw10Manon Dekkers</v>
      </c>
      <c r="N53">
        <f t="shared" si="3"/>
        <v>6</v>
      </c>
      <c r="O53">
        <f t="shared" si="4"/>
        <v>3</v>
      </c>
      <c r="P53" t="str">
        <f t="shared" si="33"/>
        <v>Wesley van Eldijk</v>
      </c>
      <c r="Q53" t="str">
        <f t="shared" si="34"/>
        <v>SVG Den Bosch</v>
      </c>
      <c r="R53">
        <f t="shared" si="35"/>
        <v>12</v>
      </c>
      <c r="S53">
        <f t="shared" si="8"/>
        <v>3</v>
      </c>
      <c r="T53" cm="1">
        <f t="array" ref="T53">SUMPRODUCT(($R$2:$R$91=R53)*($Q$2:$Q$91&gt;Q53))</f>
        <v>0</v>
      </c>
      <c r="U53" cm="1">
        <f t="array" ref="U53">SUMPRODUCT(($R$2:$R$91=R53)*($Q$2:$Q$91=Q53)*($P$2:$P$91&gt;P53))</f>
        <v>0</v>
      </c>
      <c r="V53" cm="1">
        <f t="array" ref="V53">SUMPRODUCT(($R$2:$R$91=R53)*($Q$2:$Q$91=Q53)*($P$2:$P$91=P53)*($W$2:$W$91&gt;W53))</f>
        <v>0</v>
      </c>
      <c r="W53">
        <v>52</v>
      </c>
      <c r="X53">
        <f t="shared" si="9"/>
        <v>0</v>
      </c>
      <c r="Y53" t="str">
        <f t="shared" si="10"/>
        <v>VZ&amp;PC Nautilus 1</v>
      </c>
      <c r="Z53">
        <f t="shared" si="11"/>
        <v>0</v>
      </c>
    </row>
    <row r="54" spans="1:26" x14ac:dyDescent="0.3">
      <c r="A54" t="str">
        <f t="shared" si="31"/>
        <v>Gesposs Geel</v>
      </c>
      <c r="B54">
        <f>'3'!B22</f>
        <v>10</v>
      </c>
      <c r="C54" t="str">
        <f>HLOOKUP(A54,spelerslijsten!$B$1:$J$22,19,FALSE)</f>
        <v>Eef de Ruijter</v>
      </c>
      <c r="D54">
        <f>'3'!V22</f>
        <v>1</v>
      </c>
      <c r="F54" t="str">
        <f t="shared" si="0"/>
        <v>Gesposs Geel10Eef de Ruijter</v>
      </c>
      <c r="G54">
        <f t="shared" si="1"/>
        <v>1</v>
      </c>
      <c r="J54" t="str">
        <f t="shared" si="32"/>
        <v>Gesposs Blauw</v>
      </c>
      <c r="K54" s="1">
        <f>HLOOKUP(J54,spelerslijsten!$B$1:$J$22,20,FALSE)</f>
        <v>11</v>
      </c>
      <c r="L54" t="str">
        <f>HLOOKUP(J54,spelerslijsten!$B$1:$J$22,19,FALSE)</f>
        <v>Celine van de Heuvel</v>
      </c>
      <c r="M54" t="str">
        <f t="shared" si="30"/>
        <v>Gesposs Blauw11Celine van de Heuvel</v>
      </c>
      <c r="N54">
        <f t="shared" si="3"/>
        <v>2</v>
      </c>
      <c r="O54">
        <f t="shared" si="4"/>
        <v>21</v>
      </c>
      <c r="P54" t="str">
        <f t="shared" si="33"/>
        <v>Jurriaan Rijnaars</v>
      </c>
      <c r="Q54" t="str">
        <f t="shared" si="34"/>
        <v>SVG Den Bosch</v>
      </c>
      <c r="R54">
        <f t="shared" si="35"/>
        <v>3</v>
      </c>
      <c r="S54">
        <f t="shared" si="8"/>
        <v>19</v>
      </c>
      <c r="T54" cm="1">
        <f t="array" ref="T54">SUMPRODUCT(($R$2:$R$91=R54)*($Q$2:$Q$91&gt;Q54))</f>
        <v>2</v>
      </c>
      <c r="U54" cm="1">
        <f t="array" ref="U54">SUMPRODUCT(($R$2:$R$91=R54)*($Q$2:$Q$91=Q54)*($P$2:$P$91&gt;P54))</f>
        <v>0</v>
      </c>
      <c r="V54" cm="1">
        <f t="array" ref="V54">SUMPRODUCT(($R$2:$R$91=R54)*($Q$2:$Q$91=Q54)*($P$2:$P$91=P54)*($W$2:$W$91&gt;W54))</f>
        <v>0</v>
      </c>
      <c r="W54">
        <v>53</v>
      </c>
      <c r="X54">
        <f t="shared" si="9"/>
        <v>0</v>
      </c>
      <c r="Y54" t="str">
        <f t="shared" si="10"/>
        <v>VZ&amp;PC Nautilus 1</v>
      </c>
      <c r="Z54">
        <f t="shared" si="11"/>
        <v>0</v>
      </c>
    </row>
    <row r="55" spans="1:26" x14ac:dyDescent="0.3">
      <c r="A55" t="str">
        <f t="shared" si="31"/>
        <v>Gesposs Geel</v>
      </c>
      <c r="B55">
        <f>'3'!B23</f>
        <v>11</v>
      </c>
      <c r="C55" t="str">
        <f>HLOOKUP(A55,spelerslijsten!$B$1:$J$22,21,FALSE)</f>
        <v>Finn van der Krift</v>
      </c>
      <c r="D55">
        <f>'3'!V23</f>
        <v>0</v>
      </c>
      <c r="F55" t="str">
        <f t="shared" si="0"/>
        <v>Gesposs Geel11Finn van der Krift</v>
      </c>
      <c r="G55">
        <f t="shared" si="1"/>
        <v>0</v>
      </c>
      <c r="J55" t="str">
        <f t="shared" si="32"/>
        <v>Gesposs Blauw</v>
      </c>
      <c r="K55" s="1">
        <f>HLOOKUP(J55,spelerslijsten!$B$1:$J$22,22,FALSE)</f>
        <v>0</v>
      </c>
      <c r="L55">
        <f>HLOOKUP(J55,spelerslijsten!$B$1:$J$22,21,FALSE)</f>
        <v>0</v>
      </c>
      <c r="M55" t="str">
        <f t="shared" si="30"/>
        <v>Gesposs Blauw00</v>
      </c>
      <c r="N55">
        <f t="shared" si="3"/>
        <v>0</v>
      </c>
      <c r="O55">
        <f t="shared" si="4"/>
        <v>38</v>
      </c>
      <c r="P55" t="str">
        <f t="shared" si="33"/>
        <v>Lucas van Osch</v>
      </c>
      <c r="Q55" t="str">
        <f t="shared" si="34"/>
        <v>SVG Den Bosch</v>
      </c>
      <c r="R55">
        <f t="shared" si="35"/>
        <v>1</v>
      </c>
      <c r="S55">
        <f t="shared" si="8"/>
        <v>32</v>
      </c>
      <c r="T55" cm="1">
        <f t="array" ref="T55">SUMPRODUCT(($R$2:$R$91=R55)*($Q$2:$Q$91&gt;Q55))</f>
        <v>5</v>
      </c>
      <c r="U55" cm="1">
        <f t="array" ref="U55">SUMPRODUCT(($R$2:$R$91=R55)*($Q$2:$Q$91=Q55)*($P$2:$P$91&gt;P55))</f>
        <v>1</v>
      </c>
      <c r="V55" cm="1">
        <f t="array" ref="V55">SUMPRODUCT(($R$2:$R$91=R55)*($Q$2:$Q$91=Q55)*($P$2:$P$91=P55)*($W$2:$W$91&gt;W55))</f>
        <v>0</v>
      </c>
      <c r="W55">
        <v>54</v>
      </c>
      <c r="X55" t="str">
        <f t="shared" si="9"/>
        <v>Sara van Grinsven</v>
      </c>
      <c r="Y55" t="str">
        <f t="shared" si="10"/>
        <v>SVG Den Bosch</v>
      </c>
      <c r="Z55">
        <f t="shared" si="11"/>
        <v>0</v>
      </c>
    </row>
    <row r="56" spans="1:26" x14ac:dyDescent="0.3">
      <c r="F56" t="str">
        <f t="shared" si="0"/>
        <v/>
      </c>
      <c r="G56">
        <f t="shared" si="1"/>
        <v>0</v>
      </c>
      <c r="O56">
        <f t="shared" si="4"/>
        <v>15</v>
      </c>
      <c r="P56" t="str">
        <f t="shared" si="33"/>
        <v>Helmi van Hirtum</v>
      </c>
      <c r="Q56" t="str">
        <f t="shared" si="34"/>
        <v>SVG Den Bosch</v>
      </c>
      <c r="R56">
        <f t="shared" si="35"/>
        <v>4</v>
      </c>
      <c r="S56">
        <f t="shared" si="8"/>
        <v>14</v>
      </c>
      <c r="T56" cm="1">
        <f t="array" ref="T56">SUMPRODUCT(($R$2:$R$91=R56)*($Q$2:$Q$91&gt;Q56))</f>
        <v>1</v>
      </c>
      <c r="U56" cm="1">
        <f t="array" ref="U56">SUMPRODUCT(($R$2:$R$91=R56)*($Q$2:$Q$91=Q56)*($P$2:$P$91&gt;P56))</f>
        <v>0</v>
      </c>
      <c r="V56" cm="1">
        <f t="array" ref="V56">SUMPRODUCT(($R$2:$R$91=R56)*($Q$2:$Q$91=Q56)*($P$2:$P$91=P56)*($W$2:$W$91&gt;W56))</f>
        <v>0</v>
      </c>
      <c r="W56">
        <v>55</v>
      </c>
      <c r="X56" t="str">
        <f t="shared" si="9"/>
        <v>Peter Schwering</v>
      </c>
      <c r="Y56" t="str">
        <f t="shared" si="10"/>
        <v>SVG Den Bosch</v>
      </c>
      <c r="Z56">
        <f t="shared" si="11"/>
        <v>0</v>
      </c>
    </row>
    <row r="57" spans="1:26" x14ac:dyDescent="0.3">
      <c r="A57" t="str">
        <f>Wedstrijden!I8</f>
        <v>VZ&amp;PC Nautilus 2</v>
      </c>
      <c r="B57">
        <f>'3'!B30</f>
        <v>2</v>
      </c>
      <c r="C57" t="str">
        <f>HLOOKUP(A57,spelerslijsten!$B$1:$J$22,3,FALSE)</f>
        <v>Willy van Grunsven</v>
      </c>
      <c r="D57">
        <f>'3'!V30</f>
        <v>0</v>
      </c>
      <c r="F57" t="str">
        <f t="shared" si="0"/>
        <v>VZ&amp;PC Nautilus 22Willy van Grunsven</v>
      </c>
      <c r="G57">
        <f t="shared" si="1"/>
        <v>0</v>
      </c>
      <c r="J57" t="str">
        <f>spelerslijsten!G1</f>
        <v>SVG Den Bosch</v>
      </c>
      <c r="K57" s="1">
        <f>HLOOKUP(J57,spelerslijsten!$B$1:$J$22,4,FALSE)</f>
        <v>3</v>
      </c>
      <c r="L57" t="str">
        <f>HLOOKUP(J57,spelerslijsten!$B$1:$J$22,3,FALSE)</f>
        <v>Bjorn Blom</v>
      </c>
      <c r="M57" t="str">
        <f t="shared" ref="M57" si="36">CONCATENATE(J57&amp;K57&amp;L57)</f>
        <v>SVG Den Bosch3Bjorn Blom</v>
      </c>
      <c r="N57">
        <f t="shared" si="3"/>
        <v>1</v>
      </c>
      <c r="O57">
        <f t="shared" si="4"/>
        <v>54</v>
      </c>
      <c r="P57" t="str">
        <f t="shared" si="33"/>
        <v>Sara van Grinsven</v>
      </c>
      <c r="Q57" t="str">
        <f t="shared" si="34"/>
        <v>SVG Den Bosch</v>
      </c>
      <c r="R57">
        <f t="shared" si="35"/>
        <v>0</v>
      </c>
      <c r="S57">
        <f t="shared" si="8"/>
        <v>44</v>
      </c>
      <c r="T57" cm="1">
        <f t="array" ref="T57">SUMPRODUCT(($R$2:$R$91=R57)*($Q$2:$Q$91&gt;Q57))</f>
        <v>10</v>
      </c>
      <c r="U57" cm="1">
        <f t="array" ref="U57">SUMPRODUCT(($R$2:$R$91=R57)*($Q$2:$Q$91=Q57)*($P$2:$P$91&gt;P57))</f>
        <v>0</v>
      </c>
      <c r="V57" cm="1">
        <f t="array" ref="V57">SUMPRODUCT(($R$2:$R$91=R57)*($Q$2:$Q$91=Q57)*($P$2:$P$91=P57)*($W$2:$W$91&gt;W57))</f>
        <v>0</v>
      </c>
      <c r="W57">
        <v>56</v>
      </c>
      <c r="X57">
        <f t="shared" si="9"/>
        <v>0</v>
      </c>
      <c r="Y57" t="str">
        <f t="shared" si="10"/>
        <v>SVG Den Bosch</v>
      </c>
      <c r="Z57">
        <f t="shared" si="11"/>
        <v>0</v>
      </c>
    </row>
    <row r="58" spans="1:26" x14ac:dyDescent="0.3">
      <c r="A58" t="str">
        <f>A57</f>
        <v>VZ&amp;PC Nautilus 2</v>
      </c>
      <c r="B58">
        <f>'3'!B31</f>
        <v>3</v>
      </c>
      <c r="C58" t="str">
        <f>HLOOKUP(A58,spelerslijsten!$B$1:$J$22,5,FALSE)</f>
        <v>Manuel Bastiaans</v>
      </c>
      <c r="D58">
        <f>'3'!V31</f>
        <v>0</v>
      </c>
      <c r="F58" t="str">
        <f t="shared" si="0"/>
        <v>VZ&amp;PC Nautilus 23Manuel Bastiaans</v>
      </c>
      <c r="G58">
        <f t="shared" si="1"/>
        <v>0</v>
      </c>
      <c r="J58" t="str">
        <f>J57</f>
        <v>SVG Den Bosch</v>
      </c>
      <c r="K58" s="1">
        <f>HLOOKUP(J58,spelerslijsten!$B$1:$J$22,6,FALSE)</f>
        <v>4</v>
      </c>
      <c r="L58" t="str">
        <f>HLOOKUP(J58,spelerslijsten!$B$1:$J$22,5,FALSE)</f>
        <v>Wesley van Eldijk</v>
      </c>
      <c r="M58" t="str">
        <f t="shared" ref="M58:M66" si="37">CONCATENATE(J58&amp;K58&amp;L58)</f>
        <v>SVG Den Bosch4Wesley van Eldijk</v>
      </c>
      <c r="N58">
        <f t="shared" si="3"/>
        <v>12</v>
      </c>
      <c r="O58">
        <f t="shared" si="4"/>
        <v>37</v>
      </c>
      <c r="P58" t="str">
        <f t="shared" si="33"/>
        <v>Robby van Gruythuysen</v>
      </c>
      <c r="Q58" t="str">
        <f t="shared" si="34"/>
        <v>SVG Den Bosch</v>
      </c>
      <c r="R58">
        <f t="shared" si="35"/>
        <v>1</v>
      </c>
      <c r="S58">
        <f t="shared" si="8"/>
        <v>32</v>
      </c>
      <c r="T58" cm="1">
        <f t="array" ref="T58">SUMPRODUCT(($R$2:$R$91=R58)*($Q$2:$Q$91&gt;Q58))</f>
        <v>5</v>
      </c>
      <c r="U58" cm="1">
        <f t="array" ref="U58">SUMPRODUCT(($R$2:$R$91=R58)*($Q$2:$Q$91=Q58)*($P$2:$P$91&gt;P58))</f>
        <v>0</v>
      </c>
      <c r="V58" cm="1">
        <f t="array" ref="V58">SUMPRODUCT(($R$2:$R$91=R58)*($Q$2:$Q$91=Q58)*($P$2:$P$91=P58)*($W$2:$W$91&gt;W58))</f>
        <v>0</v>
      </c>
      <c r="W58">
        <v>57</v>
      </c>
      <c r="X58" t="str">
        <f t="shared" si="9"/>
        <v>Luc Mulder</v>
      </c>
      <c r="Y58" t="str">
        <f t="shared" si="10"/>
        <v>RZ Roermond</v>
      </c>
      <c r="Z58">
        <f t="shared" si="11"/>
        <v>0</v>
      </c>
    </row>
    <row r="59" spans="1:26" x14ac:dyDescent="0.3">
      <c r="A59" t="str">
        <f t="shared" ref="A59:A66" si="38">A58</f>
        <v>VZ&amp;PC Nautilus 2</v>
      </c>
      <c r="B59">
        <f>'3'!B32</f>
        <v>4</v>
      </c>
      <c r="C59" t="str">
        <f>HLOOKUP(A59,spelerslijsten!$B$1:$J$22,7,FALSE)</f>
        <v>Marga Schouten</v>
      </c>
      <c r="D59">
        <f>'3'!V32</f>
        <v>0</v>
      </c>
      <c r="F59" t="str">
        <f t="shared" si="0"/>
        <v>VZ&amp;PC Nautilus 24Marga Schouten</v>
      </c>
      <c r="G59">
        <f t="shared" si="1"/>
        <v>0</v>
      </c>
      <c r="J59" t="str">
        <f t="shared" ref="J59:J66" si="39">J58</f>
        <v>SVG Den Bosch</v>
      </c>
      <c r="K59" s="1">
        <f>HLOOKUP(J59,spelerslijsten!$B$1:$J$22,8,FALSE)</f>
        <v>5</v>
      </c>
      <c r="L59" t="str">
        <f>HLOOKUP(J59,spelerslijsten!$B$1:$J$22,7,FALSE)</f>
        <v>Jurriaan Rijnaars</v>
      </c>
      <c r="M59" t="str">
        <f t="shared" si="37"/>
        <v>SVG Den Bosch5Jurriaan Rijnaars</v>
      </c>
      <c r="N59">
        <f t="shared" si="3"/>
        <v>3</v>
      </c>
      <c r="O59">
        <f t="shared" si="4"/>
        <v>55</v>
      </c>
      <c r="P59" t="str">
        <f t="shared" si="33"/>
        <v>Peter Schwering</v>
      </c>
      <c r="Q59" t="str">
        <f t="shared" si="34"/>
        <v>SVG Den Bosch</v>
      </c>
      <c r="R59">
        <f t="shared" si="35"/>
        <v>0</v>
      </c>
      <c r="S59">
        <f t="shared" si="8"/>
        <v>44</v>
      </c>
      <c r="T59" cm="1">
        <f t="array" ref="T59">SUMPRODUCT(($R$2:$R$91=R59)*($Q$2:$Q$91&gt;Q59))</f>
        <v>10</v>
      </c>
      <c r="U59" cm="1">
        <f t="array" ref="U59">SUMPRODUCT(($R$2:$R$91=R59)*($Q$2:$Q$91=Q59)*($P$2:$P$91&gt;P59))</f>
        <v>1</v>
      </c>
      <c r="V59" cm="1">
        <f t="array" ref="V59">SUMPRODUCT(($R$2:$R$91=R59)*($Q$2:$Q$91=Q59)*($P$2:$P$91=P59)*($W$2:$W$91&gt;W59))</f>
        <v>0</v>
      </c>
      <c r="W59">
        <v>58</v>
      </c>
      <c r="X59" t="str">
        <f t="shared" si="9"/>
        <v>Helga Addink</v>
      </c>
      <c r="Y59" t="str">
        <f t="shared" si="10"/>
        <v>RZ Roermond</v>
      </c>
      <c r="Z59">
        <f t="shared" si="11"/>
        <v>0</v>
      </c>
    </row>
    <row r="60" spans="1:26" x14ac:dyDescent="0.3">
      <c r="A60" t="str">
        <f t="shared" si="38"/>
        <v>VZ&amp;PC Nautilus 2</v>
      </c>
      <c r="B60">
        <f>'3'!B33</f>
        <v>6</v>
      </c>
      <c r="C60" t="str">
        <f>HLOOKUP(A60,spelerslijsten!$B$1:$J$22,9,FALSE)</f>
        <v>Anja Braken</v>
      </c>
      <c r="D60">
        <f>'3'!V33</f>
        <v>0</v>
      </c>
      <c r="F60" t="str">
        <f t="shared" si="0"/>
        <v>VZ&amp;PC Nautilus 26Anja Braken</v>
      </c>
      <c r="G60">
        <f t="shared" si="1"/>
        <v>0</v>
      </c>
      <c r="J60" t="str">
        <f t="shared" si="39"/>
        <v>SVG Den Bosch</v>
      </c>
      <c r="K60" s="1">
        <f>HLOOKUP(J60,spelerslijsten!$B$1:$J$22,10,FALSE)</f>
        <v>6</v>
      </c>
      <c r="L60" t="str">
        <f>HLOOKUP(J60,spelerslijsten!$B$1:$J$22,9,FALSE)</f>
        <v>Lucas van Osch</v>
      </c>
      <c r="M60" t="str">
        <f t="shared" si="37"/>
        <v>SVG Den Bosch6Lucas van Osch</v>
      </c>
      <c r="N60">
        <f t="shared" si="3"/>
        <v>1</v>
      </c>
      <c r="O60">
        <f t="shared" si="4"/>
        <v>27</v>
      </c>
      <c r="P60" t="str">
        <f t="shared" si="33"/>
        <v>Stefan Hermens</v>
      </c>
      <c r="Q60" t="str">
        <f t="shared" si="34"/>
        <v>SVG Den Bosch</v>
      </c>
      <c r="R60">
        <f t="shared" si="35"/>
        <v>2</v>
      </c>
      <c r="S60">
        <f t="shared" si="8"/>
        <v>26</v>
      </c>
      <c r="T60" cm="1">
        <f t="array" ref="T60">SUMPRODUCT(($R$2:$R$91=R60)*($Q$2:$Q$91&gt;Q60))</f>
        <v>1</v>
      </c>
      <c r="U60" cm="1">
        <f t="array" ref="U60">SUMPRODUCT(($R$2:$R$91=R60)*($Q$2:$Q$91=Q60)*($P$2:$P$91&gt;P60))</f>
        <v>0</v>
      </c>
      <c r="V60" cm="1">
        <f t="array" ref="V60">SUMPRODUCT(($R$2:$R$91=R60)*($Q$2:$Q$91=Q60)*($P$2:$P$91=P60)*($W$2:$W$91&gt;W60))</f>
        <v>0</v>
      </c>
      <c r="W60">
        <v>59</v>
      </c>
      <c r="X60" t="str">
        <f t="shared" si="9"/>
        <v>Hans Reijnders (leen)</v>
      </c>
      <c r="Y60" t="str">
        <f t="shared" si="10"/>
        <v>RZ Roermond</v>
      </c>
      <c r="Z60">
        <f t="shared" si="11"/>
        <v>0</v>
      </c>
    </row>
    <row r="61" spans="1:26" x14ac:dyDescent="0.3">
      <c r="A61" t="str">
        <f t="shared" si="38"/>
        <v>VZ&amp;PC Nautilus 2</v>
      </c>
      <c r="B61">
        <f>'3'!B34</f>
        <v>7</v>
      </c>
      <c r="C61" t="str">
        <f>HLOOKUP(A61,spelerslijsten!$B$1:$J$22,11,FALSE)</f>
        <v>Mieke van Gerwen</v>
      </c>
      <c r="D61">
        <f>'3'!V34</f>
        <v>0</v>
      </c>
      <c r="F61" t="str">
        <f t="shared" si="0"/>
        <v>VZ&amp;PC Nautilus 27Mieke van Gerwen</v>
      </c>
      <c r="G61">
        <f t="shared" si="1"/>
        <v>0</v>
      </c>
      <c r="J61" t="str">
        <f t="shared" si="39"/>
        <v>SVG Den Bosch</v>
      </c>
      <c r="K61" s="1">
        <f>HLOOKUP(J61,spelerslijsten!$B$1:$J$22,12,FALSE)</f>
        <v>7</v>
      </c>
      <c r="L61" t="str">
        <f>HLOOKUP(J61,spelerslijsten!$B$1:$J$22,11,FALSE)</f>
        <v>Helmi van Hirtum</v>
      </c>
      <c r="M61" t="str">
        <f t="shared" si="37"/>
        <v>SVG Den Bosch7Helmi van Hirtum</v>
      </c>
      <c r="N61">
        <f t="shared" si="3"/>
        <v>4</v>
      </c>
      <c r="O61">
        <f t="shared" si="4"/>
        <v>56</v>
      </c>
      <c r="P61">
        <f t="shared" si="33"/>
        <v>0</v>
      </c>
      <c r="Q61" t="str">
        <f t="shared" si="34"/>
        <v>SVG Den Bosch</v>
      </c>
      <c r="R61">
        <f t="shared" si="35"/>
        <v>0</v>
      </c>
      <c r="S61">
        <f t="shared" si="8"/>
        <v>44</v>
      </c>
      <c r="T61" cm="1">
        <f t="array" ref="T61">SUMPRODUCT(($R$2:$R$91=R61)*($Q$2:$Q$91&gt;Q61))</f>
        <v>10</v>
      </c>
      <c r="U61" cm="1">
        <f t="array" ref="U61">SUMPRODUCT(($R$2:$R$91=R61)*($Q$2:$Q$91=Q61)*($P$2:$P$91&gt;P61))</f>
        <v>2</v>
      </c>
      <c r="V61" cm="1">
        <f t="array" ref="V61">SUMPRODUCT(($R$2:$R$91=R61)*($Q$2:$Q$91=Q61)*($P$2:$P$91=P61)*($W$2:$W$91&gt;W61))</f>
        <v>0</v>
      </c>
      <c r="W61">
        <v>60</v>
      </c>
      <c r="X61">
        <f t="shared" si="9"/>
        <v>0</v>
      </c>
      <c r="Y61" t="str">
        <f t="shared" si="10"/>
        <v>RZ Roermond</v>
      </c>
      <c r="Z61">
        <f t="shared" si="11"/>
        <v>0</v>
      </c>
    </row>
    <row r="62" spans="1:26" x14ac:dyDescent="0.3">
      <c r="A62" t="str">
        <f t="shared" si="38"/>
        <v>VZ&amp;PC Nautilus 2</v>
      </c>
      <c r="B62">
        <f>'3'!B35</f>
        <v>8</v>
      </c>
      <c r="C62" t="str">
        <f>HLOOKUP(A62,spelerslijsten!$B$1:$J$22,13,FALSE)</f>
        <v>Susan van Wanrooy</v>
      </c>
      <c r="D62">
        <f>'3'!V35</f>
        <v>0</v>
      </c>
      <c r="F62" t="str">
        <f t="shared" si="0"/>
        <v>VZ&amp;PC Nautilus 28Susan van Wanrooy</v>
      </c>
      <c r="G62">
        <f t="shared" si="1"/>
        <v>0</v>
      </c>
      <c r="J62" t="str">
        <f t="shared" si="39"/>
        <v>SVG Den Bosch</v>
      </c>
      <c r="K62" s="1">
        <f>HLOOKUP(J62,spelerslijsten!$B$1:$J$22,14,FALSE)</f>
        <v>8</v>
      </c>
      <c r="L62" t="str">
        <f>HLOOKUP(J62,spelerslijsten!$B$1:$J$22,13,FALSE)</f>
        <v>Sara van Grinsven</v>
      </c>
      <c r="M62" t="str">
        <f t="shared" si="37"/>
        <v>SVG Den Bosch8Sara van Grinsven</v>
      </c>
      <c r="N62">
        <f t="shared" si="3"/>
        <v>0</v>
      </c>
      <c r="O62">
        <f t="shared" si="4"/>
        <v>87</v>
      </c>
      <c r="P62" t="str">
        <f t="shared" ref="P62:P71" si="40">L68</f>
        <v>Jop van Weel</v>
      </c>
      <c r="Q62" t="str">
        <f t="shared" ref="Q62:Q71" si="41">J68</f>
        <v>Aqua Novio</v>
      </c>
      <c r="R62">
        <f t="shared" ref="R62:R71" si="42">N68</f>
        <v>0</v>
      </c>
      <c r="S62">
        <f t="shared" si="8"/>
        <v>44</v>
      </c>
      <c r="T62" cm="1">
        <f t="array" ref="T62">SUMPRODUCT(($R$2:$R$91=R62)*($Q$2:$Q$91&gt;Q62))</f>
        <v>40</v>
      </c>
      <c r="U62" cm="1">
        <f t="array" ref="U62">SUMPRODUCT(($R$2:$R$91=R62)*($Q$2:$Q$91=Q62)*($P$2:$P$91&gt;P62))</f>
        <v>3</v>
      </c>
      <c r="V62" cm="1">
        <f t="array" ref="V62">SUMPRODUCT(($R$2:$R$91=R62)*($Q$2:$Q$91=Q62)*($P$2:$P$91=P62)*($W$2:$W$91&gt;W62))</f>
        <v>0</v>
      </c>
      <c r="W62">
        <v>61</v>
      </c>
      <c r="X62">
        <f t="shared" si="9"/>
        <v>0</v>
      </c>
      <c r="Y62" t="str">
        <f t="shared" si="10"/>
        <v>RZ Roermond</v>
      </c>
      <c r="Z62">
        <f t="shared" si="11"/>
        <v>0</v>
      </c>
    </row>
    <row r="63" spans="1:26" x14ac:dyDescent="0.3">
      <c r="A63" t="str">
        <f t="shared" si="38"/>
        <v>VZ&amp;PC Nautilus 2</v>
      </c>
      <c r="B63">
        <f>'3'!B36</f>
        <v>10</v>
      </c>
      <c r="C63" t="str">
        <f>HLOOKUP(A63,spelerslijsten!$B$1:$J$22,15,FALSE)</f>
        <v>Jeffrey Danen</v>
      </c>
      <c r="D63">
        <f>'3'!V36</f>
        <v>1</v>
      </c>
      <c r="F63" t="str">
        <f t="shared" si="0"/>
        <v>VZ&amp;PC Nautilus 210Jeffrey Danen</v>
      </c>
      <c r="G63">
        <f t="shared" si="1"/>
        <v>1</v>
      </c>
      <c r="J63" t="str">
        <f t="shared" si="39"/>
        <v>SVG Den Bosch</v>
      </c>
      <c r="K63" s="1">
        <f>HLOOKUP(J63,spelerslijsten!$B$1:$J$22,16,FALSE)</f>
        <v>9</v>
      </c>
      <c r="L63" t="str">
        <f>HLOOKUP(J63,spelerslijsten!$B$1:$J$22,15,FALSE)</f>
        <v>Robby van Gruythuysen</v>
      </c>
      <c r="M63" t="str">
        <f t="shared" si="37"/>
        <v>SVG Den Bosch9Robby van Gruythuysen</v>
      </c>
      <c r="N63">
        <f t="shared" si="3"/>
        <v>1</v>
      </c>
      <c r="O63">
        <f t="shared" si="4"/>
        <v>89</v>
      </c>
      <c r="P63" t="str">
        <f t="shared" si="40"/>
        <v>Collin Bijnen</v>
      </c>
      <c r="Q63" t="str">
        <f t="shared" si="41"/>
        <v>Aqua Novio</v>
      </c>
      <c r="R63">
        <f t="shared" si="42"/>
        <v>0</v>
      </c>
      <c r="S63">
        <f t="shared" si="8"/>
        <v>44</v>
      </c>
      <c r="T63" cm="1">
        <f t="array" ref="T63">SUMPRODUCT(($R$2:$R$91=R63)*($Q$2:$Q$91&gt;Q63))</f>
        <v>40</v>
      </c>
      <c r="U63" cm="1">
        <f t="array" ref="U63">SUMPRODUCT(($R$2:$R$91=R63)*($Q$2:$Q$91=Q63)*($P$2:$P$91&gt;P63))</f>
        <v>5</v>
      </c>
      <c r="V63" cm="1">
        <f t="array" ref="V63">SUMPRODUCT(($R$2:$R$91=R63)*($Q$2:$Q$91=Q63)*($P$2:$P$91=P63)*($W$2:$W$91&gt;W63))</f>
        <v>0</v>
      </c>
      <c r="W63">
        <v>62</v>
      </c>
      <c r="X63">
        <f t="shared" si="9"/>
        <v>0</v>
      </c>
      <c r="Y63" t="str">
        <f t="shared" si="10"/>
        <v>RZ Roermond</v>
      </c>
      <c r="Z63">
        <f t="shared" si="11"/>
        <v>0</v>
      </c>
    </row>
    <row r="64" spans="1:26" x14ac:dyDescent="0.3">
      <c r="A64" t="str">
        <f t="shared" si="38"/>
        <v>VZ&amp;PC Nautilus 2</v>
      </c>
      <c r="B64" t="str">
        <f>'3'!B37</f>
        <v/>
      </c>
      <c r="C64">
        <f>HLOOKUP(A64,spelerslijsten!$B$1:$J$22,17,FALSE)</f>
        <v>0</v>
      </c>
      <c r="D64">
        <f>'3'!V37</f>
        <v>0</v>
      </c>
      <c r="F64" t="str">
        <f t="shared" si="0"/>
        <v>VZ&amp;PC Nautilus 20</v>
      </c>
      <c r="G64">
        <f t="shared" si="1"/>
        <v>0</v>
      </c>
      <c r="J64" t="str">
        <f t="shared" si="39"/>
        <v>SVG Den Bosch</v>
      </c>
      <c r="K64" s="1">
        <f>HLOOKUP(J64,spelerslijsten!$B$1:$J$22,18,FALSE)</f>
        <v>10</v>
      </c>
      <c r="L64" t="str">
        <f>HLOOKUP(J64,spelerslijsten!$B$1:$J$22,17,FALSE)</f>
        <v>Peter Schwering</v>
      </c>
      <c r="M64" t="str">
        <f t="shared" si="37"/>
        <v>SVG Den Bosch10Peter Schwering</v>
      </c>
      <c r="N64">
        <f t="shared" si="3"/>
        <v>0</v>
      </c>
      <c r="O64">
        <f t="shared" si="4"/>
        <v>85</v>
      </c>
      <c r="P64" t="str">
        <f t="shared" si="40"/>
        <v>Lorenz Gerritz</v>
      </c>
      <c r="Q64" t="str">
        <f t="shared" si="41"/>
        <v>Aqua Novio</v>
      </c>
      <c r="R64">
        <f t="shared" si="42"/>
        <v>0</v>
      </c>
      <c r="S64">
        <f t="shared" si="8"/>
        <v>44</v>
      </c>
      <c r="T64" cm="1">
        <f t="array" ref="T64">SUMPRODUCT(($R$2:$R$91=R64)*($Q$2:$Q$91&gt;Q64))</f>
        <v>40</v>
      </c>
      <c r="U64" cm="1">
        <f t="array" ref="U64">SUMPRODUCT(($R$2:$R$91=R64)*($Q$2:$Q$91=Q64)*($P$2:$P$91&gt;P64))</f>
        <v>1</v>
      </c>
      <c r="V64" cm="1">
        <f t="array" ref="V64">SUMPRODUCT(($R$2:$R$91=R64)*($Q$2:$Q$91=Q64)*($P$2:$P$91=P64)*($W$2:$W$91&gt;W64))</f>
        <v>0</v>
      </c>
      <c r="W64">
        <v>63</v>
      </c>
      <c r="X64" t="str">
        <f t="shared" si="9"/>
        <v>Marloes Beks-Geurts</v>
      </c>
      <c r="Y64" t="str">
        <f t="shared" si="10"/>
        <v>Gesposs Geel</v>
      </c>
      <c r="Z64">
        <f t="shared" si="11"/>
        <v>0</v>
      </c>
    </row>
    <row r="65" spans="1:26" x14ac:dyDescent="0.3">
      <c r="A65" t="str">
        <f t="shared" si="38"/>
        <v>VZ&amp;PC Nautilus 2</v>
      </c>
      <c r="B65" t="str">
        <f>'3'!B38</f>
        <v/>
      </c>
      <c r="C65">
        <f>HLOOKUP(A65,spelerslijsten!$B$1:$J$22,19,FALSE)</f>
        <v>0</v>
      </c>
      <c r="D65">
        <f>'3'!V38</f>
        <v>0</v>
      </c>
      <c r="F65" t="str">
        <f t="shared" si="0"/>
        <v>VZ&amp;PC Nautilus 20</v>
      </c>
      <c r="G65">
        <f t="shared" si="1"/>
        <v>0</v>
      </c>
      <c r="J65" t="str">
        <f t="shared" si="39"/>
        <v>SVG Den Bosch</v>
      </c>
      <c r="K65" s="1">
        <f>HLOOKUP(J65,spelerslijsten!$B$1:$J$22,20,FALSE)</f>
        <v>11</v>
      </c>
      <c r="L65" t="str">
        <f>HLOOKUP(J65,spelerslijsten!$B$1:$J$22,19,FALSE)</f>
        <v>Stefan Hermens</v>
      </c>
      <c r="M65" t="str">
        <f t="shared" si="37"/>
        <v>SVG Den Bosch11Stefan Hermens</v>
      </c>
      <c r="N65">
        <f t="shared" si="3"/>
        <v>2</v>
      </c>
      <c r="O65">
        <f t="shared" si="4"/>
        <v>9</v>
      </c>
      <c r="P65" t="str">
        <f t="shared" si="40"/>
        <v>Maritz</v>
      </c>
      <c r="Q65" t="str">
        <f t="shared" si="41"/>
        <v>Aqua Novio</v>
      </c>
      <c r="R65">
        <f t="shared" si="42"/>
        <v>6</v>
      </c>
      <c r="S65">
        <f t="shared" si="8"/>
        <v>5</v>
      </c>
      <c r="T65" cm="1">
        <f t="array" ref="T65">SUMPRODUCT(($R$2:$R$91=R65)*($Q$2:$Q$91&gt;Q65))</f>
        <v>3</v>
      </c>
      <c r="U65" cm="1">
        <f t="array" ref="U65">SUMPRODUCT(($R$2:$R$91=R65)*($Q$2:$Q$91=Q65)*($P$2:$P$91&gt;P65))</f>
        <v>1</v>
      </c>
      <c r="V65" cm="1">
        <f t="array" ref="V65">SUMPRODUCT(($R$2:$R$91=R65)*($Q$2:$Q$91=Q65)*($P$2:$P$91=P65)*($W$2:$W$91&gt;W65))</f>
        <v>0</v>
      </c>
      <c r="W65">
        <v>64</v>
      </c>
      <c r="X65" t="str">
        <f t="shared" si="9"/>
        <v>Lincy Ruijs</v>
      </c>
      <c r="Y65" t="str">
        <f t="shared" si="10"/>
        <v>Gesposs Geel</v>
      </c>
      <c r="Z65">
        <f t="shared" si="11"/>
        <v>0</v>
      </c>
    </row>
    <row r="66" spans="1:26" x14ac:dyDescent="0.3">
      <c r="A66" t="str">
        <f t="shared" si="38"/>
        <v>VZ&amp;PC Nautilus 2</v>
      </c>
      <c r="B66" t="str">
        <f>'3'!B39</f>
        <v/>
      </c>
      <c r="C66">
        <f>HLOOKUP(A66,spelerslijsten!$B$1:$J$22,21,FALSE)</f>
        <v>0</v>
      </c>
      <c r="D66">
        <f>'3'!V39</f>
        <v>0</v>
      </c>
      <c r="F66" t="str">
        <f t="shared" si="0"/>
        <v>VZ&amp;PC Nautilus 20</v>
      </c>
      <c r="G66">
        <f t="shared" si="1"/>
        <v>0</v>
      </c>
      <c r="J66" t="str">
        <f t="shared" si="39"/>
        <v>SVG Den Bosch</v>
      </c>
      <c r="K66" s="1">
        <f>HLOOKUP(J66,spelerslijsten!$B$1:$J$22,22,FALSE)</f>
        <v>0</v>
      </c>
      <c r="L66">
        <f>HLOOKUP(J66,spelerslijsten!$B$1:$J$22,21,FALSE)</f>
        <v>0</v>
      </c>
      <c r="M66" t="str">
        <f t="shared" si="37"/>
        <v>SVG Den Bosch00</v>
      </c>
      <c r="N66">
        <f t="shared" si="3"/>
        <v>0</v>
      </c>
      <c r="O66">
        <f t="shared" si="4"/>
        <v>88</v>
      </c>
      <c r="P66" t="str">
        <f t="shared" si="40"/>
        <v>Doan Tran Thi Tuc</v>
      </c>
      <c r="Q66" t="str">
        <f t="shared" si="41"/>
        <v>Aqua Novio</v>
      </c>
      <c r="R66">
        <f t="shared" si="42"/>
        <v>0</v>
      </c>
      <c r="S66">
        <f t="shared" si="8"/>
        <v>44</v>
      </c>
      <c r="T66" cm="1">
        <f t="array" ref="T66">SUMPRODUCT(($R$2:$R$91=R66)*($Q$2:$Q$91&gt;Q66))</f>
        <v>40</v>
      </c>
      <c r="U66" cm="1">
        <f t="array" ref="U66">SUMPRODUCT(($R$2:$R$91=R66)*($Q$2:$Q$91=Q66)*($P$2:$P$91&gt;P66))</f>
        <v>4</v>
      </c>
      <c r="V66" cm="1">
        <f t="array" ref="V66">SUMPRODUCT(($R$2:$R$91=R66)*($Q$2:$Q$91=Q66)*($P$2:$P$91=P66)*($W$2:$W$91&gt;W66))</f>
        <v>0</v>
      </c>
      <c r="W66">
        <v>65</v>
      </c>
      <c r="X66" t="str">
        <f t="shared" si="9"/>
        <v>Kim Wolf</v>
      </c>
      <c r="Y66" t="str">
        <f t="shared" si="10"/>
        <v>Gesposs Geel</v>
      </c>
      <c r="Z66">
        <f t="shared" si="11"/>
        <v>0</v>
      </c>
    </row>
    <row r="67" spans="1:26" x14ac:dyDescent="0.3">
      <c r="A67" t="s">
        <v>83</v>
      </c>
      <c r="F67" t="str">
        <f t="shared" ref="F67:F130" si="43">CONCATENATE(A67&amp;B67&amp;C67)</f>
        <v>Wed 4</v>
      </c>
      <c r="G67">
        <f t="shared" ref="G67:G130" si="44">D67</f>
        <v>0</v>
      </c>
      <c r="O67">
        <f t="shared" ref="O67:O91" si="45">SUM(S67:V67)</f>
        <v>86</v>
      </c>
      <c r="P67" t="str">
        <f t="shared" si="40"/>
        <v>Lisa</v>
      </c>
      <c r="Q67" t="str">
        <f t="shared" si="41"/>
        <v>Aqua Novio</v>
      </c>
      <c r="R67">
        <f t="shared" si="42"/>
        <v>0</v>
      </c>
      <c r="S67">
        <f t="shared" ref="S67:S91" si="46">RANK(R67,$R$2:$R$91)</f>
        <v>44</v>
      </c>
      <c r="T67" cm="1">
        <f t="array" ref="T67">SUMPRODUCT(($R$2:$R$91=R67)*($Q$2:$Q$91&gt;Q67))</f>
        <v>40</v>
      </c>
      <c r="U67" cm="1">
        <f t="array" ref="U67">SUMPRODUCT(($R$2:$R$91=R67)*($Q$2:$Q$91=Q67)*($P$2:$P$91&gt;P67))</f>
        <v>2</v>
      </c>
      <c r="V67" cm="1">
        <f t="array" ref="V67">SUMPRODUCT(($R$2:$R$91=R67)*($Q$2:$Q$91=Q67)*($P$2:$P$91=P67)*($W$2:$W$91&gt;W67))</f>
        <v>0</v>
      </c>
      <c r="W67">
        <v>66</v>
      </c>
      <c r="X67" t="str">
        <f t="shared" ref="X67:X91" si="47">VLOOKUP(W67,$O$2:$R$91,2,FALSE)</f>
        <v>Kevin van Kollenburg</v>
      </c>
      <c r="Y67" t="str">
        <f t="shared" ref="Y67:Y91" si="48">VLOOKUP(W67,$O$2:$R$91,3,FALSE)</f>
        <v>Gesposs Geel</v>
      </c>
      <c r="Z67">
        <f t="shared" ref="Z67:Z91" si="49">VLOOKUP(W67,$O$2:$R$91,4,FALSE)</f>
        <v>0</v>
      </c>
    </row>
    <row r="68" spans="1:26" x14ac:dyDescent="0.3">
      <c r="A68" t="str">
        <f>Wedstrijden!E9</f>
        <v>De Tubanten 1</v>
      </c>
      <c r="B68">
        <f>'4'!B14</f>
        <v>2</v>
      </c>
      <c r="C68" t="str">
        <f>HLOOKUP(A68,spelerslijsten!$B$1:$J$22,3,FALSE)</f>
        <v>Sean Williams</v>
      </c>
      <c r="D68">
        <f>'4'!V14</f>
        <v>0</v>
      </c>
      <c r="F68" t="str">
        <f t="shared" si="43"/>
        <v>De Tubanten 12Sean Williams</v>
      </c>
      <c r="G68">
        <f t="shared" si="44"/>
        <v>0</v>
      </c>
      <c r="J68" t="str">
        <f>spelerslijsten!H1</f>
        <v>Aqua Novio</v>
      </c>
      <c r="K68" s="1">
        <f>HLOOKUP(J68,spelerslijsten!$B$1:$J$22,4,FALSE)</f>
        <v>2</v>
      </c>
      <c r="L68" t="str">
        <f>HLOOKUP(J68,spelerslijsten!$B$1:$J$22,3,FALSE)</f>
        <v>Jop van Weel</v>
      </c>
      <c r="M68" t="str">
        <f t="shared" ref="M68" si="50">CONCATENATE(J68&amp;K68&amp;L68)</f>
        <v>Aqua Novio2Jop van Weel</v>
      </c>
      <c r="N68">
        <f t="shared" ref="N68:N99" si="51">SUMIF($F$2:$F$440,M68,$G$2:$G$462)</f>
        <v>0</v>
      </c>
      <c r="O68">
        <f t="shared" si="45"/>
        <v>84</v>
      </c>
      <c r="P68" t="str">
        <f t="shared" si="40"/>
        <v>Mo</v>
      </c>
      <c r="Q68" t="str">
        <f t="shared" si="41"/>
        <v>Aqua Novio</v>
      </c>
      <c r="R68">
        <f t="shared" si="42"/>
        <v>0</v>
      </c>
      <c r="S68">
        <f t="shared" si="46"/>
        <v>44</v>
      </c>
      <c r="T68" cm="1">
        <f t="array" ref="T68">SUMPRODUCT(($R$2:$R$91=R68)*($Q$2:$Q$91&gt;Q68))</f>
        <v>40</v>
      </c>
      <c r="U68" cm="1">
        <f t="array" ref="U68">SUMPRODUCT(($R$2:$R$91=R68)*($Q$2:$Q$91=Q68)*($P$2:$P$91&gt;P68))</f>
        <v>0</v>
      </c>
      <c r="V68" cm="1">
        <f t="array" ref="V68">SUMPRODUCT(($R$2:$R$91=R68)*($Q$2:$Q$91=Q68)*($P$2:$P$91=P68)*($W$2:$W$91&gt;W68))</f>
        <v>0</v>
      </c>
      <c r="W68">
        <v>67</v>
      </c>
      <c r="X68" t="str">
        <f t="shared" si="47"/>
        <v>Finn van der Krift</v>
      </c>
      <c r="Y68" t="str">
        <f t="shared" si="48"/>
        <v>Gesposs Geel</v>
      </c>
      <c r="Z68">
        <f t="shared" si="49"/>
        <v>0</v>
      </c>
    </row>
    <row r="69" spans="1:26" x14ac:dyDescent="0.3">
      <c r="A69" t="str">
        <f>A68</f>
        <v>De Tubanten 1</v>
      </c>
      <c r="B69">
        <f>'4'!B15</f>
        <v>3</v>
      </c>
      <c r="C69" t="str">
        <f>HLOOKUP(A69,spelerslijsten!$B$1:$J$22,5,FALSE)</f>
        <v>Liam Williams</v>
      </c>
      <c r="D69">
        <f>'4'!V15</f>
        <v>2</v>
      </c>
      <c r="F69" t="str">
        <f t="shared" si="43"/>
        <v>De Tubanten 13Liam Williams</v>
      </c>
      <c r="G69">
        <f t="shared" si="44"/>
        <v>2</v>
      </c>
      <c r="J69" t="str">
        <f>J68</f>
        <v>Aqua Novio</v>
      </c>
      <c r="K69" s="1">
        <f>HLOOKUP(J69,spelerslijsten!$B$1:$J$22,6,FALSE)</f>
        <v>3</v>
      </c>
      <c r="L69" t="str">
        <f>HLOOKUP(J69,spelerslijsten!$B$1:$J$22,5,FALSE)</f>
        <v>Collin Bijnen</v>
      </c>
      <c r="M69" t="str">
        <f t="shared" ref="M69:M77" si="52">CONCATENATE(J69&amp;K69&amp;L69)</f>
        <v>Aqua Novio3Collin Bijnen</v>
      </c>
      <c r="N69">
        <f t="shared" si="51"/>
        <v>0</v>
      </c>
      <c r="O69">
        <f t="shared" si="45"/>
        <v>8</v>
      </c>
      <c r="P69" t="str">
        <f t="shared" si="40"/>
        <v>Siemen Pouwels</v>
      </c>
      <c r="Q69" t="str">
        <f t="shared" si="41"/>
        <v>Aqua Novio</v>
      </c>
      <c r="R69">
        <f t="shared" si="42"/>
        <v>6</v>
      </c>
      <c r="S69">
        <f t="shared" si="46"/>
        <v>5</v>
      </c>
      <c r="T69" cm="1">
        <f t="array" ref="T69">SUMPRODUCT(($R$2:$R$91=R69)*($Q$2:$Q$91&gt;Q69))</f>
        <v>3</v>
      </c>
      <c r="U69" cm="1">
        <f t="array" ref="U69">SUMPRODUCT(($R$2:$R$91=R69)*($Q$2:$Q$91=Q69)*($P$2:$P$91&gt;P69))</f>
        <v>0</v>
      </c>
      <c r="V69" cm="1">
        <f t="array" ref="V69">SUMPRODUCT(($R$2:$R$91=R69)*($Q$2:$Q$91=Q69)*($P$2:$P$91=P69)*($W$2:$W$91&gt;W69))</f>
        <v>0</v>
      </c>
      <c r="W69">
        <v>68</v>
      </c>
      <c r="X69" t="str">
        <f t="shared" si="47"/>
        <v>Wendy Kuysters</v>
      </c>
      <c r="Y69" t="str">
        <f t="shared" si="48"/>
        <v>Gesposs Blauw</v>
      </c>
      <c r="Z69">
        <f t="shared" si="49"/>
        <v>0</v>
      </c>
    </row>
    <row r="70" spans="1:26" x14ac:dyDescent="0.3">
      <c r="A70" t="str">
        <f t="shared" ref="A70:A77" si="53">A69</f>
        <v>De Tubanten 1</v>
      </c>
      <c r="B70">
        <f>'4'!B16</f>
        <v>4</v>
      </c>
      <c r="C70" t="str">
        <f>HLOOKUP(A70,spelerslijsten!$B$1:$J$22,7,FALSE)</f>
        <v>Andre Buitink</v>
      </c>
      <c r="D70">
        <f>'4'!V16</f>
        <v>0</v>
      </c>
      <c r="F70" t="str">
        <f t="shared" si="43"/>
        <v>De Tubanten 14Andre Buitink</v>
      </c>
      <c r="G70">
        <f t="shared" si="44"/>
        <v>0</v>
      </c>
      <c r="J70" t="str">
        <f t="shared" ref="J70:J77" si="54">J69</f>
        <v>Aqua Novio</v>
      </c>
      <c r="K70" s="1">
        <f>HLOOKUP(J70,spelerslijsten!$B$1:$J$22,8,FALSE)</f>
        <v>4</v>
      </c>
      <c r="L70" t="str">
        <f>HLOOKUP(J70,spelerslijsten!$B$1:$J$22,7,FALSE)</f>
        <v>Lorenz Gerritz</v>
      </c>
      <c r="M70" t="str">
        <f t="shared" si="52"/>
        <v>Aqua Novio4Lorenz Gerritz</v>
      </c>
      <c r="N70">
        <f t="shared" si="51"/>
        <v>0</v>
      </c>
      <c r="O70">
        <f t="shared" si="45"/>
        <v>43</v>
      </c>
      <c r="P70" t="str">
        <f t="shared" si="40"/>
        <v>Mark van der Heijden (leen)</v>
      </c>
      <c r="Q70" t="str">
        <f t="shared" si="41"/>
        <v>Aqua Novio</v>
      </c>
      <c r="R70">
        <f t="shared" si="42"/>
        <v>1</v>
      </c>
      <c r="S70">
        <f t="shared" si="46"/>
        <v>32</v>
      </c>
      <c r="T70" cm="1">
        <f t="array" ref="T70">SUMPRODUCT(($R$2:$R$91=R70)*($Q$2:$Q$91&gt;Q70))</f>
        <v>11</v>
      </c>
      <c r="U70" cm="1">
        <f t="array" ref="U70">SUMPRODUCT(($R$2:$R$91=R70)*($Q$2:$Q$91=Q70)*($P$2:$P$91&gt;P70))</f>
        <v>0</v>
      </c>
      <c r="V70" cm="1">
        <f t="array" ref="V70">SUMPRODUCT(($R$2:$R$91=R70)*($Q$2:$Q$91=Q70)*($P$2:$P$91=P70)*($W$2:$W$91&gt;W70))</f>
        <v>0</v>
      </c>
      <c r="W70">
        <v>69</v>
      </c>
      <c r="X70" t="str">
        <f t="shared" si="47"/>
        <v>Niels Venterink</v>
      </c>
      <c r="Y70" t="str">
        <f t="shared" si="48"/>
        <v>Gesposs Blauw</v>
      </c>
      <c r="Z70">
        <f t="shared" si="49"/>
        <v>0</v>
      </c>
    </row>
    <row r="71" spans="1:26" x14ac:dyDescent="0.3">
      <c r="A71" t="str">
        <f t="shared" si="53"/>
        <v>De Tubanten 1</v>
      </c>
      <c r="B71">
        <f>'4'!B17</f>
        <v>5</v>
      </c>
      <c r="C71" t="str">
        <f>HLOOKUP(A71,spelerslijsten!$B$1:$J$22,9,FALSE)</f>
        <v>Marco Ensink</v>
      </c>
      <c r="D71">
        <f>'4'!V17</f>
        <v>0</v>
      </c>
      <c r="F71" t="str">
        <f t="shared" si="43"/>
        <v>De Tubanten 15Marco Ensink</v>
      </c>
      <c r="G71">
        <f t="shared" si="44"/>
        <v>0</v>
      </c>
      <c r="J71" t="str">
        <f t="shared" si="54"/>
        <v>Aqua Novio</v>
      </c>
      <c r="K71" s="1">
        <f>HLOOKUP(J71,spelerslijsten!$B$1:$J$22,10,FALSE)</f>
        <v>5</v>
      </c>
      <c r="L71" t="str">
        <f>HLOOKUP(J71,spelerslijsten!$B$1:$J$22,9,FALSE)</f>
        <v>Maritz</v>
      </c>
      <c r="M71" t="str">
        <f t="shared" si="52"/>
        <v>Aqua Novio5Maritz</v>
      </c>
      <c r="N71">
        <f t="shared" si="51"/>
        <v>6</v>
      </c>
      <c r="O71">
        <f t="shared" si="45"/>
        <v>90</v>
      </c>
      <c r="P71">
        <f t="shared" si="40"/>
        <v>0</v>
      </c>
      <c r="Q71" t="str">
        <f t="shared" si="41"/>
        <v>Aqua Novio</v>
      </c>
      <c r="R71">
        <f t="shared" si="42"/>
        <v>0</v>
      </c>
      <c r="S71">
        <f t="shared" si="46"/>
        <v>44</v>
      </c>
      <c r="T71" cm="1">
        <f t="array" ref="T71">SUMPRODUCT(($R$2:$R$91=R71)*($Q$2:$Q$91&gt;Q71))</f>
        <v>40</v>
      </c>
      <c r="U71" cm="1">
        <f t="array" ref="U71">SUMPRODUCT(($R$2:$R$91=R71)*($Q$2:$Q$91=Q71)*($P$2:$P$91&gt;P71))</f>
        <v>6</v>
      </c>
      <c r="V71" cm="1">
        <f t="array" ref="V71">SUMPRODUCT(($R$2:$R$91=R71)*($Q$2:$Q$91=Q71)*($P$2:$P$91=P71)*($W$2:$W$91&gt;W71))</f>
        <v>0</v>
      </c>
      <c r="W71">
        <v>70</v>
      </c>
      <c r="X71" t="str">
        <f t="shared" si="47"/>
        <v>Kristel Henst</v>
      </c>
      <c r="Y71" t="str">
        <f t="shared" si="48"/>
        <v>Gesposs Blauw</v>
      </c>
      <c r="Z71">
        <f t="shared" si="49"/>
        <v>0</v>
      </c>
    </row>
    <row r="72" spans="1:26" x14ac:dyDescent="0.3">
      <c r="A72" t="str">
        <f t="shared" si="53"/>
        <v>De Tubanten 1</v>
      </c>
      <c r="B72">
        <f>'4'!B18</f>
        <v>6</v>
      </c>
      <c r="C72" t="str">
        <f>HLOOKUP(A72,spelerslijsten!$B$1:$J$22,11,FALSE)</f>
        <v>Precilla Beune</v>
      </c>
      <c r="D72">
        <f>'4'!V18</f>
        <v>0</v>
      </c>
      <c r="F72" t="str">
        <f t="shared" si="43"/>
        <v>De Tubanten 16Precilla Beune</v>
      </c>
      <c r="G72">
        <f t="shared" si="44"/>
        <v>0</v>
      </c>
      <c r="J72" t="str">
        <f t="shared" si="54"/>
        <v>Aqua Novio</v>
      </c>
      <c r="K72" s="1">
        <f>HLOOKUP(J72,spelerslijsten!$B$1:$J$22,12,FALSE)</f>
        <v>7</v>
      </c>
      <c r="L72" t="str">
        <f>HLOOKUP(J72,spelerslijsten!$B$1:$J$22,11,FALSE)</f>
        <v>Doan Tran Thi Tuc</v>
      </c>
      <c r="M72" t="str">
        <f t="shared" si="52"/>
        <v>Aqua Novio7Doan Tran Thi Tuc</v>
      </c>
      <c r="N72">
        <f t="shared" si="51"/>
        <v>0</v>
      </c>
      <c r="O72">
        <f t="shared" si="45"/>
        <v>79</v>
      </c>
      <c r="P72" t="str">
        <f>L79</f>
        <v>Sean Williams</v>
      </c>
      <c r="Q72" t="str">
        <f>J79</f>
        <v>De Tubanten 1</v>
      </c>
      <c r="R72">
        <f>N79</f>
        <v>0</v>
      </c>
      <c r="S72">
        <f t="shared" si="46"/>
        <v>44</v>
      </c>
      <c r="T72" cm="1">
        <f t="array" ref="T72">SUMPRODUCT(($R$2:$R$91=R72)*($Q$2:$Q$91&gt;Q72))</f>
        <v>35</v>
      </c>
      <c r="U72" cm="1">
        <f t="array" ref="U72">SUMPRODUCT(($R$2:$R$91=R72)*($Q$2:$Q$91=Q72)*($P$2:$P$91&gt;P72))</f>
        <v>0</v>
      </c>
      <c r="V72" cm="1">
        <f t="array" ref="V72">SUMPRODUCT(($R$2:$R$91=R72)*($Q$2:$Q$91=Q72)*($P$2:$P$91=P72)*($W$2:$W$91&gt;W72))</f>
        <v>0</v>
      </c>
      <c r="W72">
        <v>71</v>
      </c>
      <c r="X72" t="str">
        <f t="shared" si="47"/>
        <v>Jack Steeghs</v>
      </c>
      <c r="Y72" t="str">
        <f t="shared" si="48"/>
        <v>Gesposs Blauw</v>
      </c>
      <c r="Z72">
        <f t="shared" si="49"/>
        <v>0</v>
      </c>
    </row>
    <row r="73" spans="1:26" x14ac:dyDescent="0.3">
      <c r="A73" t="str">
        <f t="shared" si="53"/>
        <v>De Tubanten 1</v>
      </c>
      <c r="B73">
        <f>'4'!B19</f>
        <v>7</v>
      </c>
      <c r="C73" t="str">
        <f>HLOOKUP(A73,spelerslijsten!$B$1:$J$22,13,FALSE)</f>
        <v>Timo Hazelhoff</v>
      </c>
      <c r="D73">
        <f>'4'!V19</f>
        <v>3</v>
      </c>
      <c r="F73" t="str">
        <f t="shared" si="43"/>
        <v>De Tubanten 17Timo Hazelhoff</v>
      </c>
      <c r="G73">
        <f t="shared" si="44"/>
        <v>3</v>
      </c>
      <c r="J73" t="str">
        <f t="shared" si="54"/>
        <v>Aqua Novio</v>
      </c>
      <c r="K73" s="1">
        <f>HLOOKUP(J73,spelerslijsten!$B$1:$J$22,14,FALSE)</f>
        <v>8</v>
      </c>
      <c r="L73" t="str">
        <f>HLOOKUP(J73,spelerslijsten!$B$1:$J$22,13,FALSE)</f>
        <v>Lisa</v>
      </c>
      <c r="M73" t="str">
        <f t="shared" si="52"/>
        <v>Aqua Novio8Lisa</v>
      </c>
      <c r="N73">
        <f t="shared" si="51"/>
        <v>0</v>
      </c>
      <c r="O73">
        <f t="shared" si="45"/>
        <v>18</v>
      </c>
      <c r="P73" t="str">
        <f t="shared" ref="P73:P81" si="55">L80</f>
        <v>Liam Williams</v>
      </c>
      <c r="Q73" t="str">
        <f t="shared" ref="Q73:Q81" si="56">J80</f>
        <v>De Tubanten 1</v>
      </c>
      <c r="R73">
        <f t="shared" ref="R73:R81" si="57">N80</f>
        <v>4</v>
      </c>
      <c r="S73">
        <f t="shared" si="46"/>
        <v>14</v>
      </c>
      <c r="T73" cm="1">
        <f t="array" ref="T73">SUMPRODUCT(($R$2:$R$91=R73)*($Q$2:$Q$91&gt;Q73))</f>
        <v>3</v>
      </c>
      <c r="U73" cm="1">
        <f t="array" ref="U73">SUMPRODUCT(($R$2:$R$91=R73)*($Q$2:$Q$91=Q73)*($P$2:$P$91&gt;P73))</f>
        <v>1</v>
      </c>
      <c r="V73" cm="1">
        <f t="array" ref="V73">SUMPRODUCT(($R$2:$R$91=R73)*($Q$2:$Q$91=Q73)*($P$2:$P$91=P73)*($W$2:$W$91&gt;W73))</f>
        <v>0</v>
      </c>
      <c r="W73">
        <v>72</v>
      </c>
      <c r="X73">
        <f t="shared" si="47"/>
        <v>0</v>
      </c>
      <c r="Y73" t="str">
        <f t="shared" si="48"/>
        <v>Gesposs Blauw</v>
      </c>
      <c r="Z73">
        <f t="shared" si="49"/>
        <v>0</v>
      </c>
    </row>
    <row r="74" spans="1:26" x14ac:dyDescent="0.3">
      <c r="A74" t="str">
        <f t="shared" si="53"/>
        <v>De Tubanten 1</v>
      </c>
      <c r="B74">
        <f>'4'!B20</f>
        <v>8</v>
      </c>
      <c r="C74" t="str">
        <f>HLOOKUP(A74,spelerslijsten!$B$1:$J$22,15,FALSE)</f>
        <v>Mike Regtop</v>
      </c>
      <c r="D74">
        <f>'4'!V20</f>
        <v>0</v>
      </c>
      <c r="F74" t="str">
        <f t="shared" si="43"/>
        <v>De Tubanten 18Mike Regtop</v>
      </c>
      <c r="G74">
        <f t="shared" si="44"/>
        <v>0</v>
      </c>
      <c r="J74" t="str">
        <f t="shared" si="54"/>
        <v>Aqua Novio</v>
      </c>
      <c r="K74" s="1">
        <f>HLOOKUP(J74,spelerslijsten!$B$1:$J$22,16,FALSE)</f>
        <v>9</v>
      </c>
      <c r="L74" t="str">
        <f>HLOOKUP(J74,spelerslijsten!$B$1:$J$22,15,FALSE)</f>
        <v>Mo</v>
      </c>
      <c r="M74" t="str">
        <f t="shared" si="52"/>
        <v>Aqua Novio9Mo</v>
      </c>
      <c r="N74">
        <f t="shared" si="51"/>
        <v>0</v>
      </c>
      <c r="O74">
        <f t="shared" si="45"/>
        <v>25</v>
      </c>
      <c r="P74" t="str">
        <f t="shared" si="55"/>
        <v>Andre Buitink</v>
      </c>
      <c r="Q74" t="str">
        <f t="shared" si="56"/>
        <v>De Tubanten 1</v>
      </c>
      <c r="R74">
        <f t="shared" si="57"/>
        <v>3</v>
      </c>
      <c r="S74">
        <f t="shared" si="46"/>
        <v>19</v>
      </c>
      <c r="T74" cm="1">
        <f t="array" ref="T74">SUMPRODUCT(($R$2:$R$91=R74)*($Q$2:$Q$91&gt;Q74))</f>
        <v>6</v>
      </c>
      <c r="U74" cm="1">
        <f t="array" ref="U74">SUMPRODUCT(($R$2:$R$91=R74)*($Q$2:$Q$91=Q74)*($P$2:$P$91&gt;P74))</f>
        <v>0</v>
      </c>
      <c r="V74" cm="1">
        <f t="array" ref="V74">SUMPRODUCT(($R$2:$R$91=R74)*($Q$2:$Q$91=Q74)*($P$2:$P$91=P74)*($W$2:$W$91&gt;W74))</f>
        <v>0</v>
      </c>
      <c r="W74">
        <v>73</v>
      </c>
      <c r="X74" t="str">
        <f t="shared" si="47"/>
        <v>Yevgeni Petrov</v>
      </c>
      <c r="Y74" t="str">
        <f t="shared" si="48"/>
        <v>De Tubanten 2</v>
      </c>
      <c r="Z74">
        <f t="shared" si="49"/>
        <v>0</v>
      </c>
    </row>
    <row r="75" spans="1:26" x14ac:dyDescent="0.3">
      <c r="A75" t="str">
        <f t="shared" si="53"/>
        <v>De Tubanten 1</v>
      </c>
      <c r="B75" t="str">
        <f>'4'!B21</f>
        <v/>
      </c>
      <c r="C75">
        <f>HLOOKUP(A75,spelerslijsten!$B$1:$J$22,17,FALSE)</f>
        <v>0</v>
      </c>
      <c r="D75">
        <f>'4'!V21</f>
        <v>0</v>
      </c>
      <c r="F75" t="str">
        <f t="shared" si="43"/>
        <v>De Tubanten 10</v>
      </c>
      <c r="G75">
        <f t="shared" si="44"/>
        <v>0</v>
      </c>
      <c r="J75" t="str">
        <f t="shared" si="54"/>
        <v>Aqua Novio</v>
      </c>
      <c r="K75" s="1">
        <f>HLOOKUP(J75,spelerslijsten!$B$1:$J$22,18,FALSE)</f>
        <v>12</v>
      </c>
      <c r="L75" t="str">
        <f>HLOOKUP(J75,spelerslijsten!$B$1:$J$22,17,FALSE)</f>
        <v>Siemen Pouwels</v>
      </c>
      <c r="M75" t="str">
        <f t="shared" si="52"/>
        <v>Aqua Novio12Siemen Pouwels</v>
      </c>
      <c r="N75">
        <f t="shared" si="51"/>
        <v>6</v>
      </c>
      <c r="O75">
        <f t="shared" si="45"/>
        <v>80</v>
      </c>
      <c r="P75" t="str">
        <f t="shared" si="55"/>
        <v>Marco Ensink</v>
      </c>
      <c r="Q75" t="str">
        <f t="shared" si="56"/>
        <v>De Tubanten 1</v>
      </c>
      <c r="R75">
        <f t="shared" si="57"/>
        <v>0</v>
      </c>
      <c r="S75">
        <f t="shared" si="46"/>
        <v>44</v>
      </c>
      <c r="T75" cm="1">
        <f t="array" ref="T75">SUMPRODUCT(($R$2:$R$91=R75)*($Q$2:$Q$91&gt;Q75))</f>
        <v>35</v>
      </c>
      <c r="U75" cm="1">
        <f t="array" ref="U75">SUMPRODUCT(($R$2:$R$91=R75)*($Q$2:$Q$91=Q75)*($P$2:$P$91&gt;P75))</f>
        <v>1</v>
      </c>
      <c r="V75" cm="1">
        <f t="array" ref="V75">SUMPRODUCT(($R$2:$R$91=R75)*($Q$2:$Q$91=Q75)*($P$2:$P$91=P75)*($W$2:$W$91&gt;W75))</f>
        <v>0</v>
      </c>
      <c r="W75">
        <v>74</v>
      </c>
      <c r="X75" t="str">
        <f t="shared" si="47"/>
        <v>Wouter van Schip</v>
      </c>
      <c r="Y75" t="str">
        <f t="shared" si="48"/>
        <v>De Tubanten 2</v>
      </c>
      <c r="Z75">
        <f t="shared" si="49"/>
        <v>0</v>
      </c>
    </row>
    <row r="76" spans="1:26" x14ac:dyDescent="0.3">
      <c r="A76" t="str">
        <f t="shared" si="53"/>
        <v>De Tubanten 1</v>
      </c>
      <c r="B76" t="str">
        <f>'4'!B22</f>
        <v/>
      </c>
      <c r="C76">
        <f>HLOOKUP(A76,spelerslijsten!$B$1:$J$22,19,FALSE)</f>
        <v>0</v>
      </c>
      <c r="D76">
        <f>'4'!V22</f>
        <v>0</v>
      </c>
      <c r="F76" t="str">
        <f t="shared" si="43"/>
        <v>De Tubanten 10</v>
      </c>
      <c r="G76">
        <f t="shared" si="44"/>
        <v>0</v>
      </c>
      <c r="J76" t="str">
        <f t="shared" si="54"/>
        <v>Aqua Novio</v>
      </c>
      <c r="K76" s="1">
        <f>HLOOKUP(J76,spelerslijsten!$B$1:$J$22,20,FALSE)</f>
        <v>13</v>
      </c>
      <c r="L76" t="str">
        <f>HLOOKUP(J76,spelerslijsten!$B$1:$J$22,19,FALSE)</f>
        <v>Mark van der Heijden (leen)</v>
      </c>
      <c r="M76" t="str">
        <f t="shared" si="52"/>
        <v>Aqua Novio13Mark van der Heijden (leen)</v>
      </c>
      <c r="N76">
        <f t="shared" si="51"/>
        <v>1</v>
      </c>
      <c r="O76">
        <f t="shared" si="45"/>
        <v>17</v>
      </c>
      <c r="P76" t="str">
        <f t="shared" si="55"/>
        <v>Precilla Beune</v>
      </c>
      <c r="Q76" t="str">
        <f t="shared" si="56"/>
        <v>De Tubanten 1</v>
      </c>
      <c r="R76">
        <f t="shared" si="57"/>
        <v>4</v>
      </c>
      <c r="S76">
        <f t="shared" si="46"/>
        <v>14</v>
      </c>
      <c r="T76" cm="1">
        <f t="array" ref="T76">SUMPRODUCT(($R$2:$R$91=R76)*($Q$2:$Q$91&gt;Q76))</f>
        <v>3</v>
      </c>
      <c r="U76" cm="1">
        <f t="array" ref="U76">SUMPRODUCT(($R$2:$R$91=R76)*($Q$2:$Q$91=Q76)*($P$2:$P$91&gt;P76))</f>
        <v>0</v>
      </c>
      <c r="V76" cm="1">
        <f t="array" ref="V76">SUMPRODUCT(($R$2:$R$91=R76)*($Q$2:$Q$91=Q76)*($P$2:$P$91=P76)*($W$2:$W$91&gt;W76))</f>
        <v>0</v>
      </c>
      <c r="W76">
        <v>75</v>
      </c>
      <c r="X76" t="str">
        <f t="shared" si="47"/>
        <v>Monique Bijker</v>
      </c>
      <c r="Y76" t="str">
        <f t="shared" si="48"/>
        <v>De Tubanten 2</v>
      </c>
      <c r="Z76">
        <f t="shared" si="49"/>
        <v>0</v>
      </c>
    </row>
    <row r="77" spans="1:26" x14ac:dyDescent="0.3">
      <c r="A77" t="str">
        <f t="shared" si="53"/>
        <v>De Tubanten 1</v>
      </c>
      <c r="B77" t="str">
        <f>'4'!B23</f>
        <v/>
      </c>
      <c r="C77">
        <f>HLOOKUP(A77,spelerslijsten!$B$1:$J$22,21,FALSE)</f>
        <v>0</v>
      </c>
      <c r="D77">
        <f>'4'!V23</f>
        <v>0</v>
      </c>
      <c r="F77" t="str">
        <f t="shared" si="43"/>
        <v>De Tubanten 10</v>
      </c>
      <c r="G77">
        <f t="shared" si="44"/>
        <v>0</v>
      </c>
      <c r="J77" t="str">
        <f t="shared" si="54"/>
        <v>Aqua Novio</v>
      </c>
      <c r="K77" s="1">
        <f>HLOOKUP(J77,spelerslijsten!$B$1:$J$22,22,FALSE)</f>
        <v>0</v>
      </c>
      <c r="L77">
        <f>HLOOKUP(J77,spelerslijsten!$B$1:$J$22,21,FALSE)</f>
        <v>0</v>
      </c>
      <c r="M77" t="str">
        <f t="shared" si="52"/>
        <v>Aqua Novio00</v>
      </c>
      <c r="N77">
        <f t="shared" si="51"/>
        <v>0</v>
      </c>
      <c r="O77">
        <f t="shared" si="45"/>
        <v>4</v>
      </c>
      <c r="P77" t="str">
        <f t="shared" si="55"/>
        <v>Timo Hazelhoff</v>
      </c>
      <c r="Q77" t="str">
        <f t="shared" si="56"/>
        <v>De Tubanten 1</v>
      </c>
      <c r="R77">
        <f t="shared" si="57"/>
        <v>8</v>
      </c>
      <c r="S77">
        <f t="shared" si="46"/>
        <v>4</v>
      </c>
      <c r="T77" cm="1">
        <f t="array" ref="T77">SUMPRODUCT(($R$2:$R$91=R77)*($Q$2:$Q$91&gt;Q77))</f>
        <v>0</v>
      </c>
      <c r="U77" cm="1">
        <f t="array" ref="U77">SUMPRODUCT(($R$2:$R$91=R77)*($Q$2:$Q$91=Q77)*($P$2:$P$91&gt;P77))</f>
        <v>0</v>
      </c>
      <c r="V77" cm="1">
        <f t="array" ref="V77">SUMPRODUCT(($R$2:$R$91=R77)*($Q$2:$Q$91=Q77)*($P$2:$P$91=P77)*($W$2:$W$91&gt;W77))</f>
        <v>0</v>
      </c>
      <c r="W77">
        <v>76</v>
      </c>
      <c r="X77" t="str">
        <f t="shared" si="47"/>
        <v>Maiker Arends</v>
      </c>
      <c r="Y77" t="str">
        <f t="shared" si="48"/>
        <v>De Tubanten 2</v>
      </c>
      <c r="Z77">
        <f t="shared" si="49"/>
        <v>0</v>
      </c>
    </row>
    <row r="78" spans="1:26" x14ac:dyDescent="0.3">
      <c r="F78" t="str">
        <f t="shared" si="43"/>
        <v/>
      </c>
      <c r="G78">
        <f t="shared" si="44"/>
        <v>0</v>
      </c>
      <c r="O78">
        <f t="shared" si="45"/>
        <v>13</v>
      </c>
      <c r="P78" t="str">
        <f t="shared" si="55"/>
        <v>Mike Regtop</v>
      </c>
      <c r="Q78" t="str">
        <f t="shared" si="56"/>
        <v>De Tubanten 1</v>
      </c>
      <c r="R78">
        <f t="shared" si="57"/>
        <v>5</v>
      </c>
      <c r="S78">
        <f t="shared" si="46"/>
        <v>10</v>
      </c>
      <c r="T78" cm="1">
        <f t="array" ref="T78">SUMPRODUCT(($R$2:$R$91=R78)*($Q$2:$Q$91&gt;Q78))</f>
        <v>3</v>
      </c>
      <c r="U78" cm="1">
        <f t="array" ref="U78">SUMPRODUCT(($R$2:$R$91=R78)*($Q$2:$Q$91=Q78)*($P$2:$P$91&gt;P78))</f>
        <v>0</v>
      </c>
      <c r="V78" cm="1">
        <f t="array" ref="V78">SUMPRODUCT(($R$2:$R$91=R78)*($Q$2:$Q$91=Q78)*($P$2:$P$91=P78)*($W$2:$W$91&gt;W78))</f>
        <v>0</v>
      </c>
      <c r="W78">
        <v>77</v>
      </c>
      <c r="X78">
        <f t="shared" si="47"/>
        <v>0</v>
      </c>
      <c r="Y78" t="str">
        <f t="shared" si="48"/>
        <v>De Tubanten 2</v>
      </c>
      <c r="Z78">
        <f t="shared" si="49"/>
        <v>0</v>
      </c>
    </row>
    <row r="79" spans="1:26" x14ac:dyDescent="0.3">
      <c r="A79" t="str">
        <f>Wedstrijden!I9</f>
        <v>De Tubanten 2</v>
      </c>
      <c r="B79">
        <f>'4'!B30</f>
        <v>2</v>
      </c>
      <c r="C79" t="str">
        <f>HLOOKUP(A79,spelerslijsten!$B$1:$J$22,3,FALSE)</f>
        <v>Yevgeni Petrov</v>
      </c>
      <c r="D79">
        <f>'4'!V30</f>
        <v>0</v>
      </c>
      <c r="F79" t="str">
        <f t="shared" si="43"/>
        <v>De Tubanten 22Yevgeni Petrov</v>
      </c>
      <c r="G79">
        <f t="shared" si="44"/>
        <v>0</v>
      </c>
      <c r="J79" t="str">
        <f>spelerslijsten!I1</f>
        <v>De Tubanten 1</v>
      </c>
      <c r="K79" s="1">
        <f>HLOOKUP(J79,spelerslijsten!$B$1:$J$22,4,FALSE)</f>
        <v>2</v>
      </c>
      <c r="L79" t="str">
        <f>HLOOKUP(J79,spelerslijsten!$B$1:$J$22,3,FALSE)</f>
        <v>Sean Williams</v>
      </c>
      <c r="M79" t="str">
        <f t="shared" ref="M79:M88" si="58">CONCATENATE(J79&amp;K79&amp;L79)</f>
        <v>De Tubanten 12Sean Williams</v>
      </c>
      <c r="N79">
        <f t="shared" si="51"/>
        <v>0</v>
      </c>
      <c r="O79">
        <f t="shared" si="45"/>
        <v>83</v>
      </c>
      <c r="P79">
        <f t="shared" si="55"/>
        <v>0</v>
      </c>
      <c r="Q79" t="str">
        <f t="shared" si="56"/>
        <v>De Tubanten 1</v>
      </c>
      <c r="R79">
        <f t="shared" si="57"/>
        <v>0</v>
      </c>
      <c r="S79">
        <f t="shared" si="46"/>
        <v>44</v>
      </c>
      <c r="T79" cm="1">
        <f t="array" ref="T79">SUMPRODUCT(($R$2:$R$91=R79)*($Q$2:$Q$91&gt;Q79))</f>
        <v>35</v>
      </c>
      <c r="U79" cm="1">
        <f t="array" ref="U79">SUMPRODUCT(($R$2:$R$91=R79)*($Q$2:$Q$91=Q79)*($P$2:$P$91&gt;P79))</f>
        <v>2</v>
      </c>
      <c r="V79" cm="1">
        <f t="array" ref="V79">SUMPRODUCT(($R$2:$R$91=R79)*($Q$2:$Q$91=Q79)*($P$2:$P$91=P79)*($W$2:$W$91&gt;W79))</f>
        <v>2</v>
      </c>
      <c r="W79">
        <v>78</v>
      </c>
      <c r="X79">
        <f t="shared" si="47"/>
        <v>0</v>
      </c>
      <c r="Y79" t="str">
        <f t="shared" si="48"/>
        <v>De Tubanten 2</v>
      </c>
      <c r="Z79">
        <f t="shared" si="49"/>
        <v>0</v>
      </c>
    </row>
    <row r="80" spans="1:26" x14ac:dyDescent="0.3">
      <c r="A80" t="str">
        <f>A79</f>
        <v>De Tubanten 2</v>
      </c>
      <c r="B80">
        <f>'4'!B31</f>
        <v>3</v>
      </c>
      <c r="C80" t="str">
        <f>HLOOKUP(A80,spelerslijsten!$B$1:$J$22,5,FALSE)</f>
        <v>Monique Bijker</v>
      </c>
      <c r="D80">
        <f>'4'!V31</f>
        <v>0</v>
      </c>
      <c r="F80" t="str">
        <f t="shared" si="43"/>
        <v>De Tubanten 23Monique Bijker</v>
      </c>
      <c r="G80">
        <f t="shared" si="44"/>
        <v>0</v>
      </c>
      <c r="J80" t="str">
        <f>J79</f>
        <v>De Tubanten 1</v>
      </c>
      <c r="K80" s="1">
        <f>HLOOKUP(J80,spelerslijsten!$B$1:$J$22,6,FALSE)</f>
        <v>3</v>
      </c>
      <c r="L80" t="str">
        <f>HLOOKUP(J80,spelerslijsten!$B$1:$J$22,5,FALSE)</f>
        <v>Liam Williams</v>
      </c>
      <c r="M80" t="str">
        <f t="shared" si="58"/>
        <v>De Tubanten 13Liam Williams</v>
      </c>
      <c r="N80">
        <f t="shared" si="51"/>
        <v>4</v>
      </c>
      <c r="O80">
        <f t="shared" si="45"/>
        <v>82</v>
      </c>
      <c r="P80">
        <f t="shared" si="55"/>
        <v>0</v>
      </c>
      <c r="Q80" t="str">
        <f t="shared" si="56"/>
        <v>De Tubanten 1</v>
      </c>
      <c r="R80">
        <f t="shared" si="57"/>
        <v>0</v>
      </c>
      <c r="S80">
        <f t="shared" si="46"/>
        <v>44</v>
      </c>
      <c r="T80" cm="1">
        <f t="array" ref="T80">SUMPRODUCT(($R$2:$R$91=R80)*($Q$2:$Q$91&gt;Q80))</f>
        <v>35</v>
      </c>
      <c r="U80" cm="1">
        <f t="array" ref="U80">SUMPRODUCT(($R$2:$R$91=R80)*($Q$2:$Q$91=Q80)*($P$2:$P$91&gt;P80))</f>
        <v>2</v>
      </c>
      <c r="V80" cm="1">
        <f t="array" ref="V80">SUMPRODUCT(($R$2:$R$91=R80)*($Q$2:$Q$91=Q80)*($P$2:$P$91=P80)*($W$2:$W$91&gt;W80))</f>
        <v>1</v>
      </c>
      <c r="W80">
        <v>79</v>
      </c>
      <c r="X80" t="str">
        <f t="shared" si="47"/>
        <v>Sean Williams</v>
      </c>
      <c r="Y80" t="str">
        <f t="shared" si="48"/>
        <v>De Tubanten 1</v>
      </c>
      <c r="Z80">
        <f t="shared" si="49"/>
        <v>0</v>
      </c>
    </row>
    <row r="81" spans="1:26" x14ac:dyDescent="0.3">
      <c r="A81" t="str">
        <f t="shared" ref="A81:A88" si="59">A80</f>
        <v>De Tubanten 2</v>
      </c>
      <c r="B81">
        <f>'4'!B32</f>
        <v>4</v>
      </c>
      <c r="C81" t="str">
        <f>HLOOKUP(A81,spelerslijsten!$B$1:$J$22,7,FALSE)</f>
        <v>Leon Bijker</v>
      </c>
      <c r="D81">
        <f>'4'!V32</f>
        <v>1</v>
      </c>
      <c r="F81" t="str">
        <f t="shared" si="43"/>
        <v>De Tubanten 24Leon Bijker</v>
      </c>
      <c r="G81">
        <f t="shared" si="44"/>
        <v>1</v>
      </c>
      <c r="J81" t="str">
        <f t="shared" ref="J81:J88" si="60">J80</f>
        <v>De Tubanten 1</v>
      </c>
      <c r="K81" s="1">
        <f>HLOOKUP(J81,spelerslijsten!$B$1:$J$22,8,FALSE)</f>
        <v>4</v>
      </c>
      <c r="L81" t="str">
        <f>HLOOKUP(J81,spelerslijsten!$B$1:$J$22,7,FALSE)</f>
        <v>Andre Buitink</v>
      </c>
      <c r="M81" t="str">
        <f t="shared" si="58"/>
        <v>De Tubanten 14Andre Buitink</v>
      </c>
      <c r="N81">
        <f t="shared" si="51"/>
        <v>3</v>
      </c>
      <c r="O81">
        <f t="shared" si="45"/>
        <v>81</v>
      </c>
      <c r="P81">
        <f t="shared" si="55"/>
        <v>0</v>
      </c>
      <c r="Q81" t="str">
        <f t="shared" si="56"/>
        <v>De Tubanten 1</v>
      </c>
      <c r="R81">
        <f t="shared" si="57"/>
        <v>0</v>
      </c>
      <c r="S81">
        <f t="shared" si="46"/>
        <v>44</v>
      </c>
      <c r="T81" cm="1">
        <f t="array" ref="T81">SUMPRODUCT(($R$2:$R$91=R81)*($Q$2:$Q$91&gt;Q81))</f>
        <v>35</v>
      </c>
      <c r="U81" cm="1">
        <f t="array" ref="U81">SUMPRODUCT(($R$2:$R$91=R81)*($Q$2:$Q$91=Q81)*($P$2:$P$91&gt;P81))</f>
        <v>2</v>
      </c>
      <c r="V81" cm="1">
        <f t="array" ref="V81">SUMPRODUCT(($R$2:$R$91=R81)*($Q$2:$Q$91=Q81)*($P$2:$P$91=P81)*($W$2:$W$91&gt;W81))</f>
        <v>0</v>
      </c>
      <c r="W81">
        <v>80</v>
      </c>
      <c r="X81" t="str">
        <f t="shared" si="47"/>
        <v>Marco Ensink</v>
      </c>
      <c r="Y81" t="str">
        <f t="shared" si="48"/>
        <v>De Tubanten 1</v>
      </c>
      <c r="Z81">
        <f t="shared" si="49"/>
        <v>0</v>
      </c>
    </row>
    <row r="82" spans="1:26" x14ac:dyDescent="0.3">
      <c r="A82" t="str">
        <f t="shared" si="59"/>
        <v>De Tubanten 2</v>
      </c>
      <c r="B82">
        <f>'4'!B33</f>
        <v>5</v>
      </c>
      <c r="C82" t="str">
        <f>HLOOKUP(A82,spelerslijsten!$B$1:$J$22,9,FALSE)</f>
        <v>Noah Hazelhoff</v>
      </c>
      <c r="D82">
        <f>'4'!V33</f>
        <v>0</v>
      </c>
      <c r="F82" t="str">
        <f t="shared" si="43"/>
        <v>De Tubanten 25Noah Hazelhoff</v>
      </c>
      <c r="G82">
        <f t="shared" si="44"/>
        <v>0</v>
      </c>
      <c r="J82" t="str">
        <f t="shared" si="60"/>
        <v>De Tubanten 1</v>
      </c>
      <c r="K82" s="1">
        <f>HLOOKUP(J82,spelerslijsten!$B$1:$J$22,10,FALSE)</f>
        <v>5</v>
      </c>
      <c r="L82" t="str">
        <f>HLOOKUP(J82,spelerslijsten!$B$1:$J$22,9,FALSE)</f>
        <v>Marco Ensink</v>
      </c>
      <c r="M82" t="str">
        <f t="shared" si="58"/>
        <v>De Tubanten 15Marco Ensink</v>
      </c>
      <c r="N82">
        <f t="shared" si="51"/>
        <v>0</v>
      </c>
      <c r="O82">
        <f t="shared" si="45"/>
        <v>73</v>
      </c>
      <c r="P82" t="str">
        <f>L90</f>
        <v>Yevgeni Petrov</v>
      </c>
      <c r="Q82" t="str">
        <f>J90</f>
        <v>De Tubanten 2</v>
      </c>
      <c r="R82">
        <f>N90</f>
        <v>0</v>
      </c>
      <c r="S82">
        <f t="shared" si="46"/>
        <v>44</v>
      </c>
      <c r="T82" cm="1">
        <f t="array" ref="T82">SUMPRODUCT(($R$2:$R$91=R82)*($Q$2:$Q$91&gt;Q82))</f>
        <v>29</v>
      </c>
      <c r="U82" cm="1">
        <f t="array" ref="U82">SUMPRODUCT(($R$2:$R$91=R82)*($Q$2:$Q$91=Q82)*($P$2:$P$91&gt;P82))</f>
        <v>0</v>
      </c>
      <c r="V82" cm="1">
        <f t="array" ref="V82">SUMPRODUCT(($R$2:$R$91=R82)*($Q$2:$Q$91=Q82)*($P$2:$P$91=P82)*($W$2:$W$91&gt;W82))</f>
        <v>0</v>
      </c>
      <c r="W82">
        <v>81</v>
      </c>
      <c r="X82">
        <f t="shared" si="47"/>
        <v>0</v>
      </c>
      <c r="Y82" t="str">
        <f t="shared" si="48"/>
        <v>De Tubanten 1</v>
      </c>
      <c r="Z82">
        <f t="shared" si="49"/>
        <v>0</v>
      </c>
    </row>
    <row r="83" spans="1:26" x14ac:dyDescent="0.3">
      <c r="A83" t="str">
        <f t="shared" si="59"/>
        <v>De Tubanten 2</v>
      </c>
      <c r="B83">
        <f>'4'!B34</f>
        <v>6</v>
      </c>
      <c r="C83" t="str">
        <f>HLOOKUP(A83,spelerslijsten!$B$1:$J$22,11,FALSE)</f>
        <v>Joran van Achteren</v>
      </c>
      <c r="D83">
        <f>'4'!V34</f>
        <v>1</v>
      </c>
      <c r="F83" t="str">
        <f t="shared" si="43"/>
        <v>De Tubanten 26Joran van Achteren</v>
      </c>
      <c r="G83">
        <f t="shared" si="44"/>
        <v>1</v>
      </c>
      <c r="J83" t="str">
        <f t="shared" si="60"/>
        <v>De Tubanten 1</v>
      </c>
      <c r="K83" s="1">
        <f>HLOOKUP(J83,spelerslijsten!$B$1:$J$22,12,FALSE)</f>
        <v>6</v>
      </c>
      <c r="L83" t="str">
        <f>HLOOKUP(J83,spelerslijsten!$B$1:$J$22,11,FALSE)</f>
        <v>Precilla Beune</v>
      </c>
      <c r="M83" t="str">
        <f t="shared" si="58"/>
        <v>De Tubanten 16Precilla Beune</v>
      </c>
      <c r="N83">
        <f t="shared" si="51"/>
        <v>4</v>
      </c>
      <c r="O83">
        <f t="shared" si="45"/>
        <v>75</v>
      </c>
      <c r="P83" t="str">
        <f t="shared" ref="P83:P91" si="61">L91</f>
        <v>Monique Bijker</v>
      </c>
      <c r="Q83" t="str">
        <f t="shared" ref="Q83:Q91" si="62">J91</f>
        <v>De Tubanten 2</v>
      </c>
      <c r="R83">
        <f t="shared" ref="R83:R91" si="63">N91</f>
        <v>0</v>
      </c>
      <c r="S83">
        <f t="shared" si="46"/>
        <v>44</v>
      </c>
      <c r="T83" cm="1">
        <f t="array" ref="T83">SUMPRODUCT(($R$2:$R$91=R83)*($Q$2:$Q$91&gt;Q83))</f>
        <v>29</v>
      </c>
      <c r="U83" cm="1">
        <f t="array" ref="U83">SUMPRODUCT(($R$2:$R$91=R83)*($Q$2:$Q$91=Q83)*($P$2:$P$91&gt;P83))</f>
        <v>2</v>
      </c>
      <c r="V83" cm="1">
        <f t="array" ref="V83">SUMPRODUCT(($R$2:$R$91=R83)*($Q$2:$Q$91=Q83)*($P$2:$P$91=P83)*($W$2:$W$91&gt;W83))</f>
        <v>0</v>
      </c>
      <c r="W83">
        <v>82</v>
      </c>
      <c r="X83">
        <f t="shared" si="47"/>
        <v>0</v>
      </c>
      <c r="Y83" t="str">
        <f t="shared" si="48"/>
        <v>De Tubanten 1</v>
      </c>
      <c r="Z83">
        <f t="shared" si="49"/>
        <v>0</v>
      </c>
    </row>
    <row r="84" spans="1:26" x14ac:dyDescent="0.3">
      <c r="A84" t="str">
        <f t="shared" si="59"/>
        <v>De Tubanten 2</v>
      </c>
      <c r="B84">
        <f>'4'!B35</f>
        <v>7</v>
      </c>
      <c r="C84" t="str">
        <f>HLOOKUP(A84,spelerslijsten!$B$1:$J$22,13,FALSE)</f>
        <v>Maiker Arends</v>
      </c>
      <c r="D84">
        <f>'4'!V35</f>
        <v>0</v>
      </c>
      <c r="F84" t="str">
        <f t="shared" si="43"/>
        <v>De Tubanten 27Maiker Arends</v>
      </c>
      <c r="G84">
        <f t="shared" si="44"/>
        <v>0</v>
      </c>
      <c r="J84" t="str">
        <f t="shared" si="60"/>
        <v>De Tubanten 1</v>
      </c>
      <c r="K84" s="1">
        <f>HLOOKUP(J84,spelerslijsten!$B$1:$J$22,14,FALSE)</f>
        <v>7</v>
      </c>
      <c r="L84" t="str">
        <f>HLOOKUP(J84,spelerslijsten!$B$1:$J$22,13,FALSE)</f>
        <v>Timo Hazelhoff</v>
      </c>
      <c r="M84" t="str">
        <f t="shared" si="58"/>
        <v>De Tubanten 17Timo Hazelhoff</v>
      </c>
      <c r="N84">
        <f t="shared" si="51"/>
        <v>8</v>
      </c>
      <c r="O84">
        <f t="shared" si="45"/>
        <v>16</v>
      </c>
      <c r="P84" t="str">
        <f t="shared" si="61"/>
        <v>Leon Bijker</v>
      </c>
      <c r="Q84" t="str">
        <f t="shared" si="62"/>
        <v>De Tubanten 2</v>
      </c>
      <c r="R84">
        <f t="shared" si="63"/>
        <v>4</v>
      </c>
      <c r="S84">
        <f t="shared" si="46"/>
        <v>14</v>
      </c>
      <c r="T84" cm="1">
        <f t="array" ref="T84">SUMPRODUCT(($R$2:$R$91=R84)*($Q$2:$Q$91&gt;Q84))</f>
        <v>2</v>
      </c>
      <c r="U84" cm="1">
        <f t="array" ref="U84">SUMPRODUCT(($R$2:$R$91=R84)*($Q$2:$Q$91=Q84)*($P$2:$P$91&gt;P84))</f>
        <v>0</v>
      </c>
      <c r="V84" cm="1">
        <f t="array" ref="V84">SUMPRODUCT(($R$2:$R$91=R84)*($Q$2:$Q$91=Q84)*($P$2:$P$91=P84)*($W$2:$W$91&gt;W84))</f>
        <v>0</v>
      </c>
      <c r="W84">
        <v>83</v>
      </c>
      <c r="X84">
        <f t="shared" si="47"/>
        <v>0</v>
      </c>
      <c r="Y84" t="str">
        <f t="shared" si="48"/>
        <v>De Tubanten 1</v>
      </c>
      <c r="Z84">
        <f t="shared" si="49"/>
        <v>0</v>
      </c>
    </row>
    <row r="85" spans="1:26" x14ac:dyDescent="0.3">
      <c r="A85" t="str">
        <f t="shared" si="59"/>
        <v>De Tubanten 2</v>
      </c>
      <c r="B85">
        <f>'4'!B36</f>
        <v>9</v>
      </c>
      <c r="C85" t="str">
        <f>HLOOKUP(A85,spelerslijsten!$B$1:$J$22,15,FALSE)</f>
        <v>Wouter van Schip</v>
      </c>
      <c r="D85">
        <f>'4'!V36</f>
        <v>0</v>
      </c>
      <c r="F85" t="str">
        <f t="shared" si="43"/>
        <v>De Tubanten 29Wouter van Schip</v>
      </c>
      <c r="G85">
        <f t="shared" si="44"/>
        <v>0</v>
      </c>
      <c r="J85" t="str">
        <f t="shared" si="60"/>
        <v>De Tubanten 1</v>
      </c>
      <c r="K85" s="1">
        <f>HLOOKUP(J85,spelerslijsten!$B$1:$J$22,16,FALSE)</f>
        <v>8</v>
      </c>
      <c r="L85" t="str">
        <f>HLOOKUP(J85,spelerslijsten!$B$1:$J$22,15,FALSE)</f>
        <v>Mike Regtop</v>
      </c>
      <c r="M85" t="str">
        <f t="shared" si="58"/>
        <v>De Tubanten 18Mike Regtop</v>
      </c>
      <c r="N85">
        <f t="shared" si="51"/>
        <v>5</v>
      </c>
      <c r="O85">
        <f t="shared" si="45"/>
        <v>12</v>
      </c>
      <c r="P85" t="str">
        <f t="shared" si="61"/>
        <v>Noah Hazelhoff</v>
      </c>
      <c r="Q85" t="str">
        <f t="shared" si="62"/>
        <v>De Tubanten 2</v>
      </c>
      <c r="R85">
        <f t="shared" si="63"/>
        <v>5</v>
      </c>
      <c r="S85">
        <f t="shared" si="46"/>
        <v>10</v>
      </c>
      <c r="T85" cm="1">
        <f t="array" ref="T85">SUMPRODUCT(($R$2:$R$91=R85)*($Q$2:$Q$91&gt;Q85))</f>
        <v>2</v>
      </c>
      <c r="U85" cm="1">
        <f t="array" ref="U85">SUMPRODUCT(($R$2:$R$91=R85)*($Q$2:$Q$91=Q85)*($P$2:$P$91&gt;P85))</f>
        <v>0</v>
      </c>
      <c r="V85" cm="1">
        <f t="array" ref="V85">SUMPRODUCT(($R$2:$R$91=R85)*($Q$2:$Q$91=Q85)*($P$2:$P$91=P85)*($W$2:$W$91&gt;W85))</f>
        <v>0</v>
      </c>
      <c r="W85">
        <v>84</v>
      </c>
      <c r="X85" t="str">
        <f t="shared" si="47"/>
        <v>Mo</v>
      </c>
      <c r="Y85" t="str">
        <f t="shared" si="48"/>
        <v>Aqua Novio</v>
      </c>
      <c r="Z85">
        <f t="shared" si="49"/>
        <v>0</v>
      </c>
    </row>
    <row r="86" spans="1:26" x14ac:dyDescent="0.3">
      <c r="A86" t="str">
        <f t="shared" si="59"/>
        <v>De Tubanten 2</v>
      </c>
      <c r="B86">
        <f>'4'!B37</f>
        <v>10</v>
      </c>
      <c r="C86" t="str">
        <f>HLOOKUP(A86,spelerslijsten!$B$1:$J$22,17,FALSE)</f>
        <v>Bianca Verbeek</v>
      </c>
      <c r="D86">
        <f>'4'!V37</f>
        <v>0</v>
      </c>
      <c r="F86" t="str">
        <f t="shared" si="43"/>
        <v>De Tubanten 210Bianca Verbeek</v>
      </c>
      <c r="G86">
        <f t="shared" si="44"/>
        <v>0</v>
      </c>
      <c r="J86" t="str">
        <f t="shared" si="60"/>
        <v>De Tubanten 1</v>
      </c>
      <c r="K86" s="1">
        <f>HLOOKUP(J86,spelerslijsten!$B$1:$J$22,18,FALSE)</f>
        <v>0</v>
      </c>
      <c r="L86">
        <f>HLOOKUP(J86,spelerslijsten!$B$1:$J$22,17,FALSE)</f>
        <v>0</v>
      </c>
      <c r="M86" t="str">
        <f t="shared" si="58"/>
        <v>De Tubanten 100</v>
      </c>
      <c r="N86">
        <f t="shared" si="51"/>
        <v>0</v>
      </c>
      <c r="O86">
        <f t="shared" si="45"/>
        <v>42</v>
      </c>
      <c r="P86" t="str">
        <f t="shared" si="61"/>
        <v>Joran van Achteren</v>
      </c>
      <c r="Q86" t="str">
        <f t="shared" si="62"/>
        <v>De Tubanten 2</v>
      </c>
      <c r="R86">
        <f t="shared" si="63"/>
        <v>1</v>
      </c>
      <c r="S86">
        <f t="shared" si="46"/>
        <v>32</v>
      </c>
      <c r="T86" cm="1">
        <f t="array" ref="T86">SUMPRODUCT(($R$2:$R$91=R86)*($Q$2:$Q$91&gt;Q86))</f>
        <v>10</v>
      </c>
      <c r="U86" cm="1">
        <f t="array" ref="U86">SUMPRODUCT(($R$2:$R$91=R86)*($Q$2:$Q$91=Q86)*($P$2:$P$91&gt;P86))</f>
        <v>0</v>
      </c>
      <c r="V86" cm="1">
        <f t="array" ref="V86">SUMPRODUCT(($R$2:$R$91=R86)*($Q$2:$Q$91=Q86)*($P$2:$P$91=P86)*($W$2:$W$91&gt;W86))</f>
        <v>0</v>
      </c>
      <c r="W86">
        <v>85</v>
      </c>
      <c r="X86" t="str">
        <f t="shared" si="47"/>
        <v>Lorenz Gerritz</v>
      </c>
      <c r="Y86" t="str">
        <f t="shared" si="48"/>
        <v>Aqua Novio</v>
      </c>
      <c r="Z86">
        <f t="shared" si="49"/>
        <v>0</v>
      </c>
    </row>
    <row r="87" spans="1:26" x14ac:dyDescent="0.3">
      <c r="A87" t="str">
        <f t="shared" si="59"/>
        <v>De Tubanten 2</v>
      </c>
      <c r="B87" t="str">
        <f>'4'!B38</f>
        <v/>
      </c>
      <c r="C87">
        <f>HLOOKUP(A87,spelerslijsten!$B$1:$J$22,19,FALSE)</f>
        <v>0</v>
      </c>
      <c r="D87">
        <f>'4'!V38</f>
        <v>0</v>
      </c>
      <c r="F87" t="str">
        <f t="shared" si="43"/>
        <v>De Tubanten 20</v>
      </c>
      <c r="G87">
        <f t="shared" si="44"/>
        <v>0</v>
      </c>
      <c r="J87" t="str">
        <f t="shared" si="60"/>
        <v>De Tubanten 1</v>
      </c>
      <c r="K87" s="1">
        <f>HLOOKUP(J87,spelerslijsten!$B$1:$J$22,20,FALSE)</f>
        <v>0</v>
      </c>
      <c r="L87">
        <f>HLOOKUP(J87,spelerslijsten!$B$1:$J$22,19,FALSE)</f>
        <v>0</v>
      </c>
      <c r="M87" t="str">
        <f t="shared" si="58"/>
        <v>De Tubanten 100</v>
      </c>
      <c r="N87">
        <f t="shared" si="51"/>
        <v>0</v>
      </c>
      <c r="O87">
        <f t="shared" si="45"/>
        <v>76</v>
      </c>
      <c r="P87" t="str">
        <f t="shared" si="61"/>
        <v>Maiker Arends</v>
      </c>
      <c r="Q87" t="str">
        <f t="shared" si="62"/>
        <v>De Tubanten 2</v>
      </c>
      <c r="R87">
        <f t="shared" si="63"/>
        <v>0</v>
      </c>
      <c r="S87">
        <f t="shared" si="46"/>
        <v>44</v>
      </c>
      <c r="T87" cm="1">
        <f t="array" ref="T87">SUMPRODUCT(($R$2:$R$91=R87)*($Q$2:$Q$91&gt;Q87))</f>
        <v>29</v>
      </c>
      <c r="U87" cm="1">
        <f t="array" ref="U87">SUMPRODUCT(($R$2:$R$91=R87)*($Q$2:$Q$91=Q87)*($P$2:$P$91&gt;P87))</f>
        <v>3</v>
      </c>
      <c r="V87" cm="1">
        <f t="array" ref="V87">SUMPRODUCT(($R$2:$R$91=R87)*($Q$2:$Q$91=Q87)*($P$2:$P$91=P87)*($W$2:$W$91&gt;W87))</f>
        <v>0</v>
      </c>
      <c r="W87">
        <v>86</v>
      </c>
      <c r="X87" t="str">
        <f t="shared" si="47"/>
        <v>Lisa</v>
      </c>
      <c r="Y87" t="str">
        <f t="shared" si="48"/>
        <v>Aqua Novio</v>
      </c>
      <c r="Z87">
        <f t="shared" si="49"/>
        <v>0</v>
      </c>
    </row>
    <row r="88" spans="1:26" x14ac:dyDescent="0.3">
      <c r="A88" t="str">
        <f t="shared" si="59"/>
        <v>De Tubanten 2</v>
      </c>
      <c r="B88" t="str">
        <f>'4'!B39</f>
        <v/>
      </c>
      <c r="C88">
        <f>HLOOKUP(A88,spelerslijsten!$B$1:$J$22,21,FALSE)</f>
        <v>0</v>
      </c>
      <c r="D88">
        <f>'4'!V39</f>
        <v>0</v>
      </c>
      <c r="F88" t="str">
        <f t="shared" si="43"/>
        <v>De Tubanten 20</v>
      </c>
      <c r="G88">
        <f t="shared" si="44"/>
        <v>0</v>
      </c>
      <c r="J88" t="str">
        <f t="shared" si="60"/>
        <v>De Tubanten 1</v>
      </c>
      <c r="K88" s="1">
        <f>HLOOKUP(J88,spelerslijsten!$B$1:$J$22,22,FALSE)</f>
        <v>0</v>
      </c>
      <c r="L88">
        <f>HLOOKUP(J88,spelerslijsten!$B$1:$J$22,21,FALSE)</f>
        <v>0</v>
      </c>
      <c r="M88" t="str">
        <f t="shared" si="58"/>
        <v>De Tubanten 100</v>
      </c>
      <c r="N88">
        <f t="shared" si="51"/>
        <v>0</v>
      </c>
      <c r="O88">
        <f t="shared" si="45"/>
        <v>74</v>
      </c>
      <c r="P88" t="str">
        <f t="shared" si="61"/>
        <v>Wouter van Schip</v>
      </c>
      <c r="Q88" t="str">
        <f t="shared" si="62"/>
        <v>De Tubanten 2</v>
      </c>
      <c r="R88">
        <f t="shared" si="63"/>
        <v>0</v>
      </c>
      <c r="S88">
        <f t="shared" si="46"/>
        <v>44</v>
      </c>
      <c r="T88" cm="1">
        <f t="array" ref="T88">SUMPRODUCT(($R$2:$R$91=R88)*($Q$2:$Q$91&gt;Q88))</f>
        <v>29</v>
      </c>
      <c r="U88" cm="1">
        <f t="array" ref="U88">SUMPRODUCT(($R$2:$R$91=R88)*($Q$2:$Q$91=Q88)*($P$2:$P$91&gt;P88))</f>
        <v>1</v>
      </c>
      <c r="V88" cm="1">
        <f t="array" ref="V88">SUMPRODUCT(($R$2:$R$91=R88)*($Q$2:$Q$91=Q88)*($P$2:$P$91=P88)*($W$2:$W$91&gt;W88))</f>
        <v>0</v>
      </c>
      <c r="W88">
        <v>87</v>
      </c>
      <c r="X88" t="str">
        <f t="shared" si="47"/>
        <v>Jop van Weel</v>
      </c>
      <c r="Y88" t="str">
        <f t="shared" si="48"/>
        <v>Aqua Novio</v>
      </c>
      <c r="Z88">
        <f t="shared" si="49"/>
        <v>0</v>
      </c>
    </row>
    <row r="89" spans="1:26" x14ac:dyDescent="0.3">
      <c r="A89" t="s">
        <v>84</v>
      </c>
      <c r="F89" t="str">
        <f t="shared" si="43"/>
        <v>Wed 5</v>
      </c>
      <c r="G89">
        <f t="shared" si="44"/>
        <v>0</v>
      </c>
      <c r="O89">
        <f t="shared" si="45"/>
        <v>24</v>
      </c>
      <c r="P89" t="str">
        <f t="shared" si="61"/>
        <v>Bianca Verbeek</v>
      </c>
      <c r="Q89" t="str">
        <f t="shared" si="62"/>
        <v>De Tubanten 2</v>
      </c>
      <c r="R89">
        <f t="shared" si="63"/>
        <v>3</v>
      </c>
      <c r="S89">
        <f t="shared" si="46"/>
        <v>19</v>
      </c>
      <c r="T89" cm="1">
        <f t="array" ref="T89">SUMPRODUCT(($R$2:$R$91=R89)*($Q$2:$Q$91&gt;Q89))</f>
        <v>5</v>
      </c>
      <c r="U89" cm="1">
        <f t="array" ref="U89">SUMPRODUCT(($R$2:$R$91=R89)*($Q$2:$Q$91=Q89)*($P$2:$P$91&gt;P89))</f>
        <v>0</v>
      </c>
      <c r="V89" cm="1">
        <f t="array" ref="V89">SUMPRODUCT(($R$2:$R$91=R89)*($Q$2:$Q$91=Q89)*($P$2:$P$91=P89)*($W$2:$W$91&gt;W89))</f>
        <v>0</v>
      </c>
      <c r="W89">
        <v>88</v>
      </c>
      <c r="X89" t="str">
        <f t="shared" si="47"/>
        <v>Doan Tran Thi Tuc</v>
      </c>
      <c r="Y89" t="str">
        <f t="shared" si="48"/>
        <v>Aqua Novio</v>
      </c>
      <c r="Z89">
        <f t="shared" si="49"/>
        <v>0</v>
      </c>
    </row>
    <row r="90" spans="1:26" x14ac:dyDescent="0.3">
      <c r="A90" t="str">
        <f>Wedstrijden!E10</f>
        <v>Aqua Novio</v>
      </c>
      <c r="B90">
        <f>'5'!B14</f>
        <v>2</v>
      </c>
      <c r="C90" t="str">
        <f>HLOOKUP(A90,spelerslijsten!$B$1:$J$22,3,FALSE)</f>
        <v>Jop van Weel</v>
      </c>
      <c r="D90">
        <f>'5'!V14</f>
        <v>0</v>
      </c>
      <c r="F90" t="str">
        <f t="shared" si="43"/>
        <v>Aqua Novio2Jop van Weel</v>
      </c>
      <c r="G90">
        <f t="shared" si="44"/>
        <v>0</v>
      </c>
      <c r="J90" t="str">
        <f>spelerslijsten!J1</f>
        <v>De Tubanten 2</v>
      </c>
      <c r="K90" s="1">
        <f>HLOOKUP(J90,spelerslijsten!$B$1:$J$22,4,FALSE)</f>
        <v>2</v>
      </c>
      <c r="L90" t="str">
        <f>HLOOKUP(J90,spelerslijsten!$B$1:$J$22,3,FALSE)</f>
        <v>Yevgeni Petrov</v>
      </c>
      <c r="M90" t="str">
        <f t="shared" ref="M90:M99" si="64">CONCATENATE(J90&amp;K90&amp;L90)</f>
        <v>De Tubanten 22Yevgeni Petrov</v>
      </c>
      <c r="N90">
        <f t="shared" si="51"/>
        <v>0</v>
      </c>
      <c r="O90">
        <f t="shared" si="45"/>
        <v>78</v>
      </c>
      <c r="P90">
        <f t="shared" si="61"/>
        <v>0</v>
      </c>
      <c r="Q90" t="str">
        <f t="shared" si="62"/>
        <v>De Tubanten 2</v>
      </c>
      <c r="R90">
        <f t="shared" si="63"/>
        <v>0</v>
      </c>
      <c r="S90">
        <f t="shared" si="46"/>
        <v>44</v>
      </c>
      <c r="T90" cm="1">
        <f t="array" ref="T90">SUMPRODUCT(($R$2:$R$91=R90)*($Q$2:$Q$91&gt;Q90))</f>
        <v>29</v>
      </c>
      <c r="U90" cm="1">
        <f t="array" ref="U90">SUMPRODUCT(($R$2:$R$91=R90)*($Q$2:$Q$91=Q90)*($P$2:$P$91&gt;P90))</f>
        <v>4</v>
      </c>
      <c r="V90" cm="1">
        <f t="array" ref="V90">SUMPRODUCT(($R$2:$R$91=R90)*($Q$2:$Q$91=Q90)*($P$2:$P$91=P90)*($W$2:$W$91&gt;W90))</f>
        <v>1</v>
      </c>
      <c r="W90">
        <v>89</v>
      </c>
      <c r="X90" t="str">
        <f t="shared" si="47"/>
        <v>Collin Bijnen</v>
      </c>
      <c r="Y90" t="str">
        <f t="shared" si="48"/>
        <v>Aqua Novio</v>
      </c>
      <c r="Z90">
        <f t="shared" si="49"/>
        <v>0</v>
      </c>
    </row>
    <row r="91" spans="1:26" x14ac:dyDescent="0.3">
      <c r="A91" t="str">
        <f>A90</f>
        <v>Aqua Novio</v>
      </c>
      <c r="B91">
        <f>'5'!B15</f>
        <v>3</v>
      </c>
      <c r="C91" t="str">
        <f>HLOOKUP(A91,spelerslijsten!$B$1:$J$22,5,FALSE)</f>
        <v>Collin Bijnen</v>
      </c>
      <c r="D91">
        <f>'5'!V15</f>
        <v>0</v>
      </c>
      <c r="F91" t="str">
        <f t="shared" si="43"/>
        <v>Aqua Novio3Collin Bijnen</v>
      </c>
      <c r="G91">
        <f t="shared" si="44"/>
        <v>0</v>
      </c>
      <c r="J91" t="str">
        <f>J90</f>
        <v>De Tubanten 2</v>
      </c>
      <c r="K91" s="1">
        <f>HLOOKUP(J91,spelerslijsten!$B$1:$J$22,6,FALSE)</f>
        <v>3</v>
      </c>
      <c r="L91" t="str">
        <f>HLOOKUP(J91,spelerslijsten!$B$1:$J$22,5,FALSE)</f>
        <v>Monique Bijker</v>
      </c>
      <c r="M91" t="str">
        <f t="shared" si="64"/>
        <v>De Tubanten 23Monique Bijker</v>
      </c>
      <c r="N91">
        <f t="shared" si="51"/>
        <v>0</v>
      </c>
      <c r="O91">
        <f t="shared" si="45"/>
        <v>77</v>
      </c>
      <c r="P91">
        <f t="shared" si="61"/>
        <v>0</v>
      </c>
      <c r="Q91" t="str">
        <f t="shared" si="62"/>
        <v>De Tubanten 2</v>
      </c>
      <c r="R91">
        <f t="shared" si="63"/>
        <v>0</v>
      </c>
      <c r="S91">
        <f t="shared" si="46"/>
        <v>44</v>
      </c>
      <c r="T91" cm="1">
        <f t="array" ref="T91">SUMPRODUCT(($R$2:$R$91=R91)*($Q$2:$Q$91&gt;Q91))</f>
        <v>29</v>
      </c>
      <c r="U91" cm="1">
        <f t="array" ref="U91">SUMPRODUCT(($R$2:$R$91=R91)*($Q$2:$Q$91=Q91)*($P$2:$P$91&gt;P91))</f>
        <v>4</v>
      </c>
      <c r="V91" cm="1">
        <f t="array" ref="V91">SUMPRODUCT(($R$2:$R$91=R91)*($Q$2:$Q$91=Q91)*($P$2:$P$91=P91)*($W$2:$W$91&gt;W91))</f>
        <v>0</v>
      </c>
      <c r="W91">
        <v>90</v>
      </c>
      <c r="X91">
        <f t="shared" si="47"/>
        <v>0</v>
      </c>
      <c r="Y91" t="str">
        <f t="shared" si="48"/>
        <v>Aqua Novio</v>
      </c>
      <c r="Z91">
        <f t="shared" si="49"/>
        <v>0</v>
      </c>
    </row>
    <row r="92" spans="1:26" x14ac:dyDescent="0.3">
      <c r="A92" t="str">
        <f t="shared" ref="A92:A99" si="65">A91</f>
        <v>Aqua Novio</v>
      </c>
      <c r="B92">
        <f>'5'!B16</f>
        <v>4</v>
      </c>
      <c r="C92" t="str">
        <f>HLOOKUP(A92,spelerslijsten!$B$1:$J$22,7,FALSE)</f>
        <v>Lorenz Gerritz</v>
      </c>
      <c r="D92">
        <f>'5'!V16</f>
        <v>0</v>
      </c>
      <c r="F92" t="str">
        <f t="shared" si="43"/>
        <v>Aqua Novio4Lorenz Gerritz</v>
      </c>
      <c r="G92">
        <f t="shared" si="44"/>
        <v>0</v>
      </c>
      <c r="J92" t="str">
        <f t="shared" ref="J92:J99" si="66">J91</f>
        <v>De Tubanten 2</v>
      </c>
      <c r="K92" s="1">
        <f>HLOOKUP(J92,spelerslijsten!$B$1:$J$22,8,FALSE)</f>
        <v>4</v>
      </c>
      <c r="L92" t="str">
        <f>HLOOKUP(J92,spelerslijsten!$B$1:$J$22,7,FALSE)</f>
        <v>Leon Bijker</v>
      </c>
      <c r="M92" t="str">
        <f t="shared" si="64"/>
        <v>De Tubanten 24Leon Bijker</v>
      </c>
      <c r="N92">
        <f t="shared" si="51"/>
        <v>4</v>
      </c>
    </row>
    <row r="93" spans="1:26" x14ac:dyDescent="0.3">
      <c r="A93" t="str">
        <f t="shared" si="65"/>
        <v>Aqua Novio</v>
      </c>
      <c r="B93">
        <f>'5'!B17</f>
        <v>5</v>
      </c>
      <c r="C93" t="str">
        <f>HLOOKUP(A93,spelerslijsten!$B$1:$J$22,9,FALSE)</f>
        <v>Maritz</v>
      </c>
      <c r="D93">
        <f>'5'!V17</f>
        <v>3</v>
      </c>
      <c r="F93" t="str">
        <f t="shared" si="43"/>
        <v>Aqua Novio5Maritz</v>
      </c>
      <c r="G93">
        <f t="shared" si="44"/>
        <v>3</v>
      </c>
      <c r="J93" t="str">
        <f t="shared" si="66"/>
        <v>De Tubanten 2</v>
      </c>
      <c r="K93" s="1">
        <f>HLOOKUP(J93,spelerslijsten!$B$1:$J$22,10,FALSE)</f>
        <v>5</v>
      </c>
      <c r="L93" t="str">
        <f>HLOOKUP(J93,spelerslijsten!$B$1:$J$22,9,FALSE)</f>
        <v>Noah Hazelhoff</v>
      </c>
      <c r="M93" t="str">
        <f t="shared" si="64"/>
        <v>De Tubanten 25Noah Hazelhoff</v>
      </c>
      <c r="N93">
        <f t="shared" si="51"/>
        <v>5</v>
      </c>
    </row>
    <row r="94" spans="1:26" x14ac:dyDescent="0.3">
      <c r="A94" t="str">
        <f t="shared" si="65"/>
        <v>Aqua Novio</v>
      </c>
      <c r="B94">
        <f>'5'!B18</f>
        <v>7</v>
      </c>
      <c r="C94" t="str">
        <f>HLOOKUP(A94,spelerslijsten!$B$1:$J$22,11,FALSE)</f>
        <v>Doan Tran Thi Tuc</v>
      </c>
      <c r="D94">
        <f>'5'!V18</f>
        <v>0</v>
      </c>
      <c r="F94" t="str">
        <f t="shared" si="43"/>
        <v>Aqua Novio7Doan Tran Thi Tuc</v>
      </c>
      <c r="G94">
        <f t="shared" si="44"/>
        <v>0</v>
      </c>
      <c r="J94" t="str">
        <f t="shared" si="66"/>
        <v>De Tubanten 2</v>
      </c>
      <c r="K94" s="1">
        <f>HLOOKUP(J94,spelerslijsten!$B$1:$J$22,12,FALSE)</f>
        <v>6</v>
      </c>
      <c r="L94" t="str">
        <f>HLOOKUP(J94,spelerslijsten!$B$1:$J$22,11,FALSE)</f>
        <v>Joran van Achteren</v>
      </c>
      <c r="M94" t="str">
        <f t="shared" si="64"/>
        <v>De Tubanten 26Joran van Achteren</v>
      </c>
      <c r="N94">
        <f t="shared" si="51"/>
        <v>1</v>
      </c>
    </row>
    <row r="95" spans="1:26" x14ac:dyDescent="0.3">
      <c r="A95" t="str">
        <f t="shared" si="65"/>
        <v>Aqua Novio</v>
      </c>
      <c r="B95">
        <f>'5'!B19</f>
        <v>8</v>
      </c>
      <c r="C95" t="str">
        <f>HLOOKUP(A95,spelerslijsten!$B$1:$J$22,13,FALSE)</f>
        <v>Lisa</v>
      </c>
      <c r="D95">
        <f>'5'!V19</f>
        <v>0</v>
      </c>
      <c r="F95" t="str">
        <f t="shared" si="43"/>
        <v>Aqua Novio8Lisa</v>
      </c>
      <c r="G95">
        <f t="shared" si="44"/>
        <v>0</v>
      </c>
      <c r="J95" t="str">
        <f t="shared" si="66"/>
        <v>De Tubanten 2</v>
      </c>
      <c r="K95" s="1">
        <f>HLOOKUP(J95,spelerslijsten!$B$1:$J$22,14,FALSE)</f>
        <v>7</v>
      </c>
      <c r="L95" t="str">
        <f>HLOOKUP(J95,spelerslijsten!$B$1:$J$22,13,FALSE)</f>
        <v>Maiker Arends</v>
      </c>
      <c r="M95" t="str">
        <f t="shared" si="64"/>
        <v>De Tubanten 27Maiker Arends</v>
      </c>
      <c r="N95">
        <f t="shared" si="51"/>
        <v>0</v>
      </c>
    </row>
    <row r="96" spans="1:26" x14ac:dyDescent="0.3">
      <c r="A96" t="str">
        <f t="shared" si="65"/>
        <v>Aqua Novio</v>
      </c>
      <c r="B96">
        <f>'5'!B20</f>
        <v>9</v>
      </c>
      <c r="C96" t="str">
        <f>HLOOKUP(A96,spelerslijsten!$B$1:$J$22,15,FALSE)</f>
        <v>Mo</v>
      </c>
      <c r="D96">
        <f>'5'!V20</f>
        <v>0</v>
      </c>
      <c r="F96" t="str">
        <f t="shared" si="43"/>
        <v>Aqua Novio9Mo</v>
      </c>
      <c r="G96">
        <f t="shared" si="44"/>
        <v>0</v>
      </c>
      <c r="J96" t="str">
        <f t="shared" si="66"/>
        <v>De Tubanten 2</v>
      </c>
      <c r="K96" s="1">
        <f>HLOOKUP(J96,spelerslijsten!$B$1:$J$22,16,FALSE)</f>
        <v>9</v>
      </c>
      <c r="L96" t="str">
        <f>HLOOKUP(J96,spelerslijsten!$B$1:$J$22,15,FALSE)</f>
        <v>Wouter van Schip</v>
      </c>
      <c r="M96" t="str">
        <f t="shared" si="64"/>
        <v>De Tubanten 29Wouter van Schip</v>
      </c>
      <c r="N96">
        <f t="shared" si="51"/>
        <v>0</v>
      </c>
    </row>
    <row r="97" spans="1:14" x14ac:dyDescent="0.3">
      <c r="A97" t="str">
        <f t="shared" si="65"/>
        <v>Aqua Novio</v>
      </c>
      <c r="B97">
        <f>'5'!B21</f>
        <v>12</v>
      </c>
      <c r="C97" t="str">
        <f>HLOOKUP(A97,spelerslijsten!$B$1:$J$22,17,FALSE)</f>
        <v>Siemen Pouwels</v>
      </c>
      <c r="D97">
        <f>'5'!V21</f>
        <v>3</v>
      </c>
      <c r="F97" t="str">
        <f t="shared" si="43"/>
        <v>Aqua Novio12Siemen Pouwels</v>
      </c>
      <c r="G97">
        <f t="shared" si="44"/>
        <v>3</v>
      </c>
      <c r="J97" t="str">
        <f t="shared" si="66"/>
        <v>De Tubanten 2</v>
      </c>
      <c r="K97" s="1">
        <f>HLOOKUP(J97,spelerslijsten!$B$1:$J$22,18,FALSE)</f>
        <v>10</v>
      </c>
      <c r="L97" t="str">
        <f>HLOOKUP(J97,spelerslijsten!$B$1:$J$22,17,FALSE)</f>
        <v>Bianca Verbeek</v>
      </c>
      <c r="M97" t="str">
        <f t="shared" si="64"/>
        <v>De Tubanten 210Bianca Verbeek</v>
      </c>
      <c r="N97">
        <f t="shared" si="51"/>
        <v>3</v>
      </c>
    </row>
    <row r="98" spans="1:14" x14ac:dyDescent="0.3">
      <c r="A98" t="str">
        <f t="shared" si="65"/>
        <v>Aqua Novio</v>
      </c>
      <c r="B98">
        <f>'5'!B22</f>
        <v>13</v>
      </c>
      <c r="C98" t="str">
        <f>HLOOKUP(A98,spelerslijsten!$B$1:$J$22,19,FALSE)</f>
        <v>Mark van der Heijden (leen)</v>
      </c>
      <c r="D98">
        <f>'5'!V22</f>
        <v>1</v>
      </c>
      <c r="F98" t="str">
        <f t="shared" si="43"/>
        <v>Aqua Novio13Mark van der Heijden (leen)</v>
      </c>
      <c r="G98">
        <f t="shared" si="44"/>
        <v>1</v>
      </c>
      <c r="J98" t="str">
        <f t="shared" si="66"/>
        <v>De Tubanten 2</v>
      </c>
      <c r="K98" s="1">
        <f>HLOOKUP(J98,spelerslijsten!$B$1:$J$22,20,FALSE)</f>
        <v>0</v>
      </c>
      <c r="L98">
        <f>HLOOKUP(J98,spelerslijsten!$B$1:$J$22,19,FALSE)</f>
        <v>0</v>
      </c>
      <c r="M98" t="str">
        <f t="shared" si="64"/>
        <v>De Tubanten 200</v>
      </c>
      <c r="N98">
        <f t="shared" si="51"/>
        <v>0</v>
      </c>
    </row>
    <row r="99" spans="1:14" x14ac:dyDescent="0.3">
      <c r="A99" t="str">
        <f t="shared" si="65"/>
        <v>Aqua Novio</v>
      </c>
      <c r="B99" t="str">
        <f>'5'!B23</f>
        <v/>
      </c>
      <c r="C99">
        <f>HLOOKUP(A99,spelerslijsten!$B$1:$J$22,21,FALSE)</f>
        <v>0</v>
      </c>
      <c r="D99">
        <f>'5'!V23</f>
        <v>0</v>
      </c>
      <c r="F99" t="str">
        <f t="shared" si="43"/>
        <v>Aqua Novio0</v>
      </c>
      <c r="G99">
        <f t="shared" si="44"/>
        <v>0</v>
      </c>
      <c r="J99" t="str">
        <f t="shared" si="66"/>
        <v>De Tubanten 2</v>
      </c>
      <c r="K99" s="1">
        <f>HLOOKUP(J99,spelerslijsten!$B$1:$J$22,22,FALSE)</f>
        <v>0</v>
      </c>
      <c r="L99">
        <f>HLOOKUP(J99,spelerslijsten!$B$1:$J$22,21,FALSE)</f>
        <v>0</v>
      </c>
      <c r="M99" t="str">
        <f t="shared" si="64"/>
        <v>De Tubanten 200</v>
      </c>
      <c r="N99">
        <f t="shared" si="51"/>
        <v>0</v>
      </c>
    </row>
    <row r="100" spans="1:14" x14ac:dyDescent="0.3">
      <c r="F100" t="str">
        <f t="shared" si="43"/>
        <v/>
      </c>
      <c r="G100">
        <f t="shared" si="44"/>
        <v>0</v>
      </c>
    </row>
    <row r="101" spans="1:14" x14ac:dyDescent="0.3">
      <c r="A101" t="str">
        <f>Wedstrijden!I10</f>
        <v>RZ Roermond</v>
      </c>
      <c r="B101">
        <f>'5'!B30</f>
        <v>3</v>
      </c>
      <c r="C101" t="str">
        <f>HLOOKUP(A101,spelerslijsten!$B$1:$J$22,3,FALSE)</f>
        <v>Helga Addink</v>
      </c>
      <c r="D101">
        <f>'5'!V30</f>
        <v>0</v>
      </c>
      <c r="F101" t="str">
        <f t="shared" si="43"/>
        <v>RZ Roermond3Helga Addink</v>
      </c>
      <c r="G101">
        <f t="shared" si="44"/>
        <v>0</v>
      </c>
    </row>
    <row r="102" spans="1:14" x14ac:dyDescent="0.3">
      <c r="A102" t="str">
        <f>A101</f>
        <v>RZ Roermond</v>
      </c>
      <c r="B102">
        <f>'5'!B31</f>
        <v>4</v>
      </c>
      <c r="C102" t="str">
        <f>HLOOKUP(A102,spelerslijsten!$B$1:$J$22,5,FALSE)</f>
        <v>Werner Dudek</v>
      </c>
      <c r="D102">
        <f>'5'!V31</f>
        <v>0</v>
      </c>
      <c r="F102" t="str">
        <f t="shared" si="43"/>
        <v>RZ Roermond4Werner Dudek</v>
      </c>
      <c r="G102">
        <f t="shared" si="44"/>
        <v>0</v>
      </c>
    </row>
    <row r="103" spans="1:14" x14ac:dyDescent="0.3">
      <c r="A103" t="str">
        <f t="shared" ref="A103:A110" si="67">A102</f>
        <v>RZ Roermond</v>
      </c>
      <c r="B103">
        <f>'5'!B32</f>
        <v>5</v>
      </c>
      <c r="C103" t="str">
        <f>HLOOKUP(A103,spelerslijsten!$B$1:$J$22,7,FALSE)</f>
        <v>Luc Mulder</v>
      </c>
      <c r="D103">
        <f>'5'!V32</f>
        <v>0</v>
      </c>
      <c r="F103" t="str">
        <f t="shared" si="43"/>
        <v>RZ Roermond5Luc Mulder</v>
      </c>
      <c r="G103">
        <f t="shared" si="44"/>
        <v>0</v>
      </c>
    </row>
    <row r="104" spans="1:14" x14ac:dyDescent="0.3">
      <c r="A104" t="str">
        <f t="shared" si="67"/>
        <v>RZ Roermond</v>
      </c>
      <c r="B104">
        <f>'5'!B33</f>
        <v>7</v>
      </c>
      <c r="C104" t="str">
        <f>HLOOKUP(A104,spelerslijsten!$B$1:$J$22,9,FALSE)</f>
        <v>Ties Bouten</v>
      </c>
      <c r="D104">
        <f>'5'!V33</f>
        <v>3</v>
      </c>
      <c r="F104" t="str">
        <f t="shared" si="43"/>
        <v>RZ Roermond7Ties Bouten</v>
      </c>
      <c r="G104">
        <f t="shared" si="44"/>
        <v>3</v>
      </c>
    </row>
    <row r="105" spans="1:14" x14ac:dyDescent="0.3">
      <c r="A105" t="str">
        <f t="shared" si="67"/>
        <v>RZ Roermond</v>
      </c>
      <c r="B105">
        <f>'5'!B34</f>
        <v>9</v>
      </c>
      <c r="C105" t="str">
        <f>HLOOKUP(A105,spelerslijsten!$B$1:$J$22,11,FALSE)</f>
        <v>Wilma van Helden</v>
      </c>
      <c r="D105">
        <f>'5'!V34</f>
        <v>3</v>
      </c>
      <c r="F105" t="str">
        <f t="shared" si="43"/>
        <v>RZ Roermond9Wilma van Helden</v>
      </c>
      <c r="G105">
        <f t="shared" si="44"/>
        <v>3</v>
      </c>
    </row>
    <row r="106" spans="1:14" x14ac:dyDescent="0.3">
      <c r="A106" t="str">
        <f t="shared" si="67"/>
        <v>RZ Roermond</v>
      </c>
      <c r="B106">
        <f>'5'!B35</f>
        <v>11</v>
      </c>
      <c r="C106" t="str">
        <f>HLOOKUP(A106,spelerslijsten!$B$1:$J$22,13,FALSE)</f>
        <v>Sonja Bouten</v>
      </c>
      <c r="D106">
        <f>'5'!V35</f>
        <v>0</v>
      </c>
      <c r="F106" t="str">
        <f t="shared" si="43"/>
        <v>RZ Roermond11Sonja Bouten</v>
      </c>
      <c r="G106">
        <f t="shared" si="44"/>
        <v>0</v>
      </c>
    </row>
    <row r="107" spans="1:14" x14ac:dyDescent="0.3">
      <c r="A107" t="str">
        <f t="shared" si="67"/>
        <v>RZ Roermond</v>
      </c>
      <c r="B107">
        <f>'5'!B36</f>
        <v>12</v>
      </c>
      <c r="C107" t="str">
        <f>HLOOKUP(A107,spelerslijsten!$B$1:$J$22,15,FALSE)</f>
        <v>Hans Reijnders (leen)</v>
      </c>
      <c r="D107">
        <f>'5'!V36</f>
        <v>0</v>
      </c>
      <c r="F107" t="str">
        <f t="shared" si="43"/>
        <v>RZ Roermond12Hans Reijnders (leen)</v>
      </c>
      <c r="G107">
        <f t="shared" si="44"/>
        <v>0</v>
      </c>
    </row>
    <row r="108" spans="1:14" x14ac:dyDescent="0.3">
      <c r="A108" t="str">
        <f t="shared" si="67"/>
        <v>RZ Roermond</v>
      </c>
      <c r="B108" t="str">
        <f>'5'!B37</f>
        <v/>
      </c>
      <c r="C108">
        <f>HLOOKUP(A108,spelerslijsten!$B$1:$J$22,17,FALSE)</f>
        <v>0</v>
      </c>
      <c r="D108">
        <f>'5'!V37</f>
        <v>0</v>
      </c>
      <c r="F108" t="str">
        <f t="shared" si="43"/>
        <v>RZ Roermond0</v>
      </c>
      <c r="G108">
        <f t="shared" si="44"/>
        <v>0</v>
      </c>
    </row>
    <row r="109" spans="1:14" x14ac:dyDescent="0.3">
      <c r="A109" t="str">
        <f t="shared" si="67"/>
        <v>RZ Roermond</v>
      </c>
      <c r="B109" t="str">
        <f>'5'!B38</f>
        <v/>
      </c>
      <c r="C109">
        <f>HLOOKUP(A109,spelerslijsten!$B$1:$J$22,19,FALSE)</f>
        <v>0</v>
      </c>
      <c r="D109">
        <f>'5'!V38</f>
        <v>0</v>
      </c>
      <c r="F109" t="str">
        <f t="shared" si="43"/>
        <v>RZ Roermond0</v>
      </c>
      <c r="G109">
        <f t="shared" si="44"/>
        <v>0</v>
      </c>
    </row>
    <row r="110" spans="1:14" x14ac:dyDescent="0.3">
      <c r="A110" t="str">
        <f t="shared" si="67"/>
        <v>RZ Roermond</v>
      </c>
      <c r="B110" t="str">
        <f>'5'!B39</f>
        <v/>
      </c>
      <c r="C110">
        <f>HLOOKUP(A110,spelerslijsten!$B$1:$J$22,21,FALSE)</f>
        <v>0</v>
      </c>
      <c r="D110">
        <f>'5'!V39</f>
        <v>0</v>
      </c>
      <c r="F110" t="str">
        <f t="shared" si="43"/>
        <v>RZ Roermond0</v>
      </c>
      <c r="G110">
        <f t="shared" si="44"/>
        <v>0</v>
      </c>
    </row>
    <row r="111" spans="1:14" x14ac:dyDescent="0.3">
      <c r="A111" t="s">
        <v>85</v>
      </c>
      <c r="F111" t="str">
        <f t="shared" si="43"/>
        <v>Wed 6</v>
      </c>
      <c r="G111">
        <f t="shared" si="44"/>
        <v>0</v>
      </c>
    </row>
    <row r="112" spans="1:14" x14ac:dyDescent="0.3">
      <c r="A112" t="str">
        <f>Wedstrijden!E11</f>
        <v>SVG Den Bosch</v>
      </c>
      <c r="B112">
        <f>'6'!B14</f>
        <v>3</v>
      </c>
      <c r="C112" t="str">
        <f>HLOOKUP(A112,spelerslijsten!$B$1:$J$22,3,FALSE)</f>
        <v>Bjorn Blom</v>
      </c>
      <c r="D112">
        <f>'6'!V14</f>
        <v>0</v>
      </c>
      <c r="F112" t="str">
        <f t="shared" si="43"/>
        <v>SVG Den Bosch3Bjorn Blom</v>
      </c>
      <c r="G112">
        <f t="shared" si="44"/>
        <v>0</v>
      </c>
    </row>
    <row r="113" spans="1:7" x14ac:dyDescent="0.3">
      <c r="A113" t="str">
        <f>A112</f>
        <v>SVG Den Bosch</v>
      </c>
      <c r="B113">
        <f>'6'!B15</f>
        <v>4</v>
      </c>
      <c r="C113" t="str">
        <f>HLOOKUP(A113,spelerslijsten!$B$1:$J$22,5,FALSE)</f>
        <v>Wesley van Eldijk</v>
      </c>
      <c r="D113">
        <f>'6'!V15</f>
        <v>0</v>
      </c>
      <c r="F113" t="str">
        <f t="shared" si="43"/>
        <v>SVG Den Bosch4Wesley van Eldijk</v>
      </c>
      <c r="G113">
        <f t="shared" si="44"/>
        <v>0</v>
      </c>
    </row>
    <row r="114" spans="1:7" x14ac:dyDescent="0.3">
      <c r="A114" t="str">
        <f t="shared" ref="A114:A121" si="68">A113</f>
        <v>SVG Den Bosch</v>
      </c>
      <c r="B114">
        <f>'6'!B16</f>
        <v>5</v>
      </c>
      <c r="C114" t="str">
        <f>HLOOKUP(A114,spelerslijsten!$B$1:$J$22,7,FALSE)</f>
        <v>Jurriaan Rijnaars</v>
      </c>
      <c r="D114">
        <f>'6'!V16</f>
        <v>1</v>
      </c>
      <c r="F114" t="str">
        <f t="shared" si="43"/>
        <v>SVG Den Bosch5Jurriaan Rijnaars</v>
      </c>
      <c r="G114">
        <f t="shared" si="44"/>
        <v>1</v>
      </c>
    </row>
    <row r="115" spans="1:7" x14ac:dyDescent="0.3">
      <c r="A115" t="str">
        <f t="shared" si="68"/>
        <v>SVG Den Bosch</v>
      </c>
      <c r="B115">
        <f>'6'!B17</f>
        <v>6</v>
      </c>
      <c r="C115" t="str">
        <f>HLOOKUP(A115,spelerslijsten!$B$1:$J$22,9,FALSE)</f>
        <v>Lucas van Osch</v>
      </c>
      <c r="D115">
        <f>'6'!V17</f>
        <v>0</v>
      </c>
      <c r="F115" t="str">
        <f t="shared" si="43"/>
        <v>SVG Den Bosch6Lucas van Osch</v>
      </c>
      <c r="G115">
        <f t="shared" si="44"/>
        <v>0</v>
      </c>
    </row>
    <row r="116" spans="1:7" x14ac:dyDescent="0.3">
      <c r="A116" t="str">
        <f t="shared" si="68"/>
        <v>SVG Den Bosch</v>
      </c>
      <c r="B116">
        <f>'6'!B18</f>
        <v>7</v>
      </c>
      <c r="C116" t="str">
        <f>HLOOKUP(A116,spelerslijsten!$B$1:$J$22,11,FALSE)</f>
        <v>Helmi van Hirtum</v>
      </c>
      <c r="D116">
        <f>'6'!V18</f>
        <v>2</v>
      </c>
      <c r="F116" t="str">
        <f t="shared" si="43"/>
        <v>SVG Den Bosch7Helmi van Hirtum</v>
      </c>
      <c r="G116">
        <f t="shared" si="44"/>
        <v>2</v>
      </c>
    </row>
    <row r="117" spans="1:7" x14ac:dyDescent="0.3">
      <c r="A117" t="str">
        <f t="shared" si="68"/>
        <v>SVG Den Bosch</v>
      </c>
      <c r="B117">
        <f>'6'!B19</f>
        <v>8</v>
      </c>
      <c r="C117" t="str">
        <f>HLOOKUP(A117,spelerslijsten!$B$1:$J$22,13,FALSE)</f>
        <v>Sara van Grinsven</v>
      </c>
      <c r="D117">
        <f>'6'!V19</f>
        <v>0</v>
      </c>
      <c r="F117" t="str">
        <f t="shared" si="43"/>
        <v>SVG Den Bosch8Sara van Grinsven</v>
      </c>
      <c r="G117">
        <f t="shared" si="44"/>
        <v>0</v>
      </c>
    </row>
    <row r="118" spans="1:7" x14ac:dyDescent="0.3">
      <c r="A118" t="str">
        <f t="shared" si="68"/>
        <v>SVG Den Bosch</v>
      </c>
      <c r="B118">
        <f>'6'!B20</f>
        <v>9</v>
      </c>
      <c r="C118" t="str">
        <f>HLOOKUP(A118,spelerslijsten!$B$1:$J$22,15,FALSE)</f>
        <v>Robby van Gruythuysen</v>
      </c>
      <c r="D118">
        <f>'6'!V20</f>
        <v>0</v>
      </c>
      <c r="F118" t="str">
        <f t="shared" si="43"/>
        <v>SVG Den Bosch9Robby van Gruythuysen</v>
      </c>
      <c r="G118">
        <f t="shared" si="44"/>
        <v>0</v>
      </c>
    </row>
    <row r="119" spans="1:7" x14ac:dyDescent="0.3">
      <c r="A119" t="str">
        <f t="shared" si="68"/>
        <v>SVG Den Bosch</v>
      </c>
      <c r="B119">
        <f>'6'!B21</f>
        <v>10</v>
      </c>
      <c r="C119" t="str">
        <f>HLOOKUP(A119,spelerslijsten!$B$1:$J$22,17,FALSE)</f>
        <v>Peter Schwering</v>
      </c>
      <c r="D119">
        <f>'6'!V21</f>
        <v>0</v>
      </c>
      <c r="F119" t="str">
        <f t="shared" si="43"/>
        <v>SVG Den Bosch10Peter Schwering</v>
      </c>
      <c r="G119">
        <f t="shared" si="44"/>
        <v>0</v>
      </c>
    </row>
    <row r="120" spans="1:7" x14ac:dyDescent="0.3">
      <c r="A120" t="str">
        <f t="shared" si="68"/>
        <v>SVG Den Bosch</v>
      </c>
      <c r="B120">
        <f>'6'!B22</f>
        <v>11</v>
      </c>
      <c r="C120" t="str">
        <f>HLOOKUP(A120,spelerslijsten!$B$1:$J$22,19,FALSE)</f>
        <v>Stefan Hermens</v>
      </c>
      <c r="D120">
        <f>'6'!V22</f>
        <v>0</v>
      </c>
      <c r="F120" t="str">
        <f t="shared" si="43"/>
        <v>SVG Den Bosch11Stefan Hermens</v>
      </c>
      <c r="G120">
        <f t="shared" si="44"/>
        <v>0</v>
      </c>
    </row>
    <row r="121" spans="1:7" x14ac:dyDescent="0.3">
      <c r="A121" t="str">
        <f t="shared" si="68"/>
        <v>SVG Den Bosch</v>
      </c>
      <c r="B121" t="str">
        <f>'6'!B23</f>
        <v/>
      </c>
      <c r="C121">
        <f>HLOOKUP(A121,spelerslijsten!$B$1:$J$22,21,FALSE)</f>
        <v>0</v>
      </c>
      <c r="D121">
        <f>'6'!V23</f>
        <v>0</v>
      </c>
      <c r="F121" t="str">
        <f t="shared" si="43"/>
        <v>SVG Den Bosch0</v>
      </c>
      <c r="G121">
        <f t="shared" si="44"/>
        <v>0</v>
      </c>
    </row>
    <row r="122" spans="1:7" x14ac:dyDescent="0.3">
      <c r="F122" t="str">
        <f t="shared" si="43"/>
        <v/>
      </c>
      <c r="G122">
        <f t="shared" si="44"/>
        <v>0</v>
      </c>
    </row>
    <row r="123" spans="1:7" x14ac:dyDescent="0.3">
      <c r="A123" t="str">
        <f>Wedstrijden!I11</f>
        <v>Gesposs Geel</v>
      </c>
      <c r="B123">
        <f>'6'!B30</f>
        <v>2</v>
      </c>
      <c r="C123" t="str">
        <f>HLOOKUP(A123,spelerslijsten!$B$1:$J$22,3,FALSE)</f>
        <v>Jasper van Houtum</v>
      </c>
      <c r="D123">
        <f>'6'!V30</f>
        <v>1</v>
      </c>
      <c r="F123" t="str">
        <f t="shared" si="43"/>
        <v>Gesposs Geel2Jasper van Houtum</v>
      </c>
      <c r="G123">
        <f t="shared" si="44"/>
        <v>1</v>
      </c>
    </row>
    <row r="124" spans="1:7" x14ac:dyDescent="0.3">
      <c r="A124" t="str">
        <f>A123</f>
        <v>Gesposs Geel</v>
      </c>
      <c r="B124">
        <f>'6'!B31</f>
        <v>3</v>
      </c>
      <c r="C124" t="str">
        <f>HLOOKUP(A124,spelerslijsten!$B$1:$J$22,5,FALSE)</f>
        <v>Arjan Dulos</v>
      </c>
      <c r="D124">
        <f>'6'!V31</f>
        <v>0</v>
      </c>
      <c r="F124" t="str">
        <f t="shared" si="43"/>
        <v>Gesposs Geel3Arjan Dulos</v>
      </c>
      <c r="G124">
        <f t="shared" si="44"/>
        <v>0</v>
      </c>
    </row>
    <row r="125" spans="1:7" x14ac:dyDescent="0.3">
      <c r="A125" t="str">
        <f t="shared" ref="A125:A132" si="69">A124</f>
        <v>Gesposs Geel</v>
      </c>
      <c r="B125">
        <f>'6'!B32</f>
        <v>4</v>
      </c>
      <c r="C125" t="str">
        <f>HLOOKUP(A125,spelerslijsten!$B$1:$J$22,7,FALSE)</f>
        <v>Kim Wolf</v>
      </c>
      <c r="D125">
        <f>'6'!V32</f>
        <v>0</v>
      </c>
      <c r="F125" t="str">
        <f t="shared" si="43"/>
        <v>Gesposs Geel4Kim Wolf</v>
      </c>
      <c r="G125">
        <f t="shared" si="44"/>
        <v>0</v>
      </c>
    </row>
    <row r="126" spans="1:7" x14ac:dyDescent="0.3">
      <c r="A126" t="str">
        <f t="shared" si="69"/>
        <v>Gesposs Geel</v>
      </c>
      <c r="B126">
        <f>'6'!B33</f>
        <v>5</v>
      </c>
      <c r="C126" t="str">
        <f>HLOOKUP(A126,spelerslijsten!$B$1:$J$22,9,FALSE)</f>
        <v>Kevin van Boekel</v>
      </c>
      <c r="D126">
        <f>'6'!V33</f>
        <v>0</v>
      </c>
      <c r="F126" t="str">
        <f t="shared" si="43"/>
        <v>Gesposs Geel5Kevin van Boekel</v>
      </c>
      <c r="G126">
        <f t="shared" si="44"/>
        <v>0</v>
      </c>
    </row>
    <row r="127" spans="1:7" x14ac:dyDescent="0.3">
      <c r="A127" t="str">
        <f t="shared" si="69"/>
        <v>Gesposs Geel</v>
      </c>
      <c r="B127">
        <f>'6'!B34</f>
        <v>6</v>
      </c>
      <c r="C127" t="str">
        <f>HLOOKUP(A127,spelerslijsten!$B$1:$J$22,11,FALSE)</f>
        <v>Kevin van Kollenburg</v>
      </c>
      <c r="D127">
        <f>'6'!V34</f>
        <v>0</v>
      </c>
      <c r="F127" t="str">
        <f t="shared" si="43"/>
        <v>Gesposs Geel6Kevin van Kollenburg</v>
      </c>
      <c r="G127">
        <f t="shared" si="44"/>
        <v>0</v>
      </c>
    </row>
    <row r="128" spans="1:7" x14ac:dyDescent="0.3">
      <c r="A128" t="str">
        <f t="shared" si="69"/>
        <v>Gesposs Geel</v>
      </c>
      <c r="B128">
        <f>'6'!B35</f>
        <v>7</v>
      </c>
      <c r="C128" t="str">
        <f>HLOOKUP(A128,spelerslijsten!$B$1:$J$22,13,FALSE)</f>
        <v>Tim van den Akker</v>
      </c>
      <c r="D128">
        <f>'6'!V35</f>
        <v>0</v>
      </c>
      <c r="F128" t="str">
        <f t="shared" si="43"/>
        <v>Gesposs Geel7Tim van den Akker</v>
      </c>
      <c r="G128">
        <f t="shared" si="44"/>
        <v>0</v>
      </c>
    </row>
    <row r="129" spans="1:7" x14ac:dyDescent="0.3">
      <c r="A129" t="str">
        <f t="shared" si="69"/>
        <v>Gesposs Geel</v>
      </c>
      <c r="B129">
        <f>'6'!B36</f>
        <v>8</v>
      </c>
      <c r="C129" t="str">
        <f>HLOOKUP(A129,spelerslijsten!$B$1:$J$22,15,FALSE)</f>
        <v>Marloes Beks-Geurts</v>
      </c>
      <c r="D129">
        <f>'6'!V36</f>
        <v>0</v>
      </c>
      <c r="F129" t="str">
        <f t="shared" si="43"/>
        <v>Gesposs Geel8Marloes Beks-Geurts</v>
      </c>
      <c r="G129">
        <f t="shared" si="44"/>
        <v>0</v>
      </c>
    </row>
    <row r="130" spans="1:7" x14ac:dyDescent="0.3">
      <c r="A130" t="str">
        <f t="shared" si="69"/>
        <v>Gesposs Geel</v>
      </c>
      <c r="B130">
        <f>'6'!B37</f>
        <v>9</v>
      </c>
      <c r="C130" t="str">
        <f>HLOOKUP(A130,spelerslijsten!$B$1:$J$22,17,FALSE)</f>
        <v>Lincy Ruijs</v>
      </c>
      <c r="D130">
        <f>'6'!V37</f>
        <v>0</v>
      </c>
      <c r="F130" t="str">
        <f t="shared" si="43"/>
        <v>Gesposs Geel9Lincy Ruijs</v>
      </c>
      <c r="G130">
        <f t="shared" si="44"/>
        <v>0</v>
      </c>
    </row>
    <row r="131" spans="1:7" x14ac:dyDescent="0.3">
      <c r="A131" t="str">
        <f t="shared" si="69"/>
        <v>Gesposs Geel</v>
      </c>
      <c r="B131">
        <f>'6'!B38</f>
        <v>10</v>
      </c>
      <c r="C131" t="str">
        <f>HLOOKUP(A131,spelerslijsten!$B$1:$J$22,19,FALSE)</f>
        <v>Eef de Ruijter</v>
      </c>
      <c r="D131">
        <f>'6'!V38</f>
        <v>0</v>
      </c>
      <c r="F131" t="str">
        <f t="shared" ref="F131:F194" si="70">CONCATENATE(A131&amp;B131&amp;C131)</f>
        <v>Gesposs Geel10Eef de Ruijter</v>
      </c>
      <c r="G131">
        <f t="shared" ref="G131:G194" si="71">D131</f>
        <v>0</v>
      </c>
    </row>
    <row r="132" spans="1:7" x14ac:dyDescent="0.3">
      <c r="A132" t="str">
        <f t="shared" si="69"/>
        <v>Gesposs Geel</v>
      </c>
      <c r="B132">
        <f>'6'!B39</f>
        <v>11</v>
      </c>
      <c r="C132" t="str">
        <f>HLOOKUP(A132,spelerslijsten!$B$1:$J$22,21,FALSE)</f>
        <v>Finn van der Krift</v>
      </c>
      <c r="D132">
        <f>'6'!V39</f>
        <v>0</v>
      </c>
      <c r="F132" t="str">
        <f t="shared" si="70"/>
        <v>Gesposs Geel11Finn van der Krift</v>
      </c>
      <c r="G132">
        <f t="shared" si="71"/>
        <v>0</v>
      </c>
    </row>
    <row r="133" spans="1:7" x14ac:dyDescent="0.3">
      <c r="A133" t="s">
        <v>86</v>
      </c>
      <c r="F133" t="str">
        <f t="shared" si="70"/>
        <v>Wed 7</v>
      </c>
      <c r="G133">
        <f t="shared" si="71"/>
        <v>0</v>
      </c>
    </row>
    <row r="134" spans="1:7" x14ac:dyDescent="0.3">
      <c r="A134" t="str">
        <f>Wedstrijden!E12</f>
        <v>VZ&amp;PC Nautilus 1</v>
      </c>
      <c r="B134">
        <f>'7'!B14</f>
        <v>2</v>
      </c>
      <c r="C134" t="str">
        <f>HLOOKUP(A134,spelerslijsten!$B$1:$J$22,3,FALSE)</f>
        <v>Corne Braken</v>
      </c>
      <c r="D134">
        <f>'7'!V14</f>
        <v>0</v>
      </c>
      <c r="F134" t="str">
        <f t="shared" si="70"/>
        <v>VZ&amp;PC Nautilus 12Corne Braken</v>
      </c>
      <c r="G134">
        <f t="shared" si="71"/>
        <v>0</v>
      </c>
    </row>
    <row r="135" spans="1:7" x14ac:dyDescent="0.3">
      <c r="A135" t="str">
        <f>A134</f>
        <v>VZ&amp;PC Nautilus 1</v>
      </c>
      <c r="B135">
        <f>'7'!B15</f>
        <v>3</v>
      </c>
      <c r="C135" t="str">
        <f>HLOOKUP(A135,spelerslijsten!$B$1:$J$22,5,FALSE)</f>
        <v>Kevin Kanters</v>
      </c>
      <c r="D135">
        <f>'7'!V15</f>
        <v>1</v>
      </c>
      <c r="F135" t="str">
        <f t="shared" si="70"/>
        <v>VZ&amp;PC Nautilus 13Kevin Kanters</v>
      </c>
      <c r="G135">
        <f t="shared" si="71"/>
        <v>1</v>
      </c>
    </row>
    <row r="136" spans="1:7" x14ac:dyDescent="0.3">
      <c r="A136" t="str">
        <f t="shared" ref="A136:A143" si="72">A135</f>
        <v>VZ&amp;PC Nautilus 1</v>
      </c>
      <c r="B136">
        <f>'7'!B16</f>
        <v>4</v>
      </c>
      <c r="C136" t="str">
        <f>HLOOKUP(A136,spelerslijsten!$B$1:$J$22,7,FALSE)</f>
        <v>Monique Schouten</v>
      </c>
      <c r="D136">
        <f>'7'!V16</f>
        <v>0</v>
      </c>
      <c r="F136" t="str">
        <f t="shared" si="70"/>
        <v>VZ&amp;PC Nautilus 14Monique Schouten</v>
      </c>
      <c r="G136">
        <f t="shared" si="71"/>
        <v>0</v>
      </c>
    </row>
    <row r="137" spans="1:7" x14ac:dyDescent="0.3">
      <c r="A137" t="str">
        <f t="shared" si="72"/>
        <v>VZ&amp;PC Nautilus 1</v>
      </c>
      <c r="B137">
        <f>'7'!B17</f>
        <v>5</v>
      </c>
      <c r="C137" t="str">
        <f>HLOOKUP(A137,spelerslijsten!$B$1:$J$22,9,FALSE)</f>
        <v>Miranda van Schaijk</v>
      </c>
      <c r="D137">
        <f>'7'!V17</f>
        <v>0</v>
      </c>
      <c r="F137" t="str">
        <f t="shared" si="70"/>
        <v>VZ&amp;PC Nautilus 15Miranda van Schaijk</v>
      </c>
      <c r="G137">
        <f t="shared" si="71"/>
        <v>0</v>
      </c>
    </row>
    <row r="138" spans="1:7" x14ac:dyDescent="0.3">
      <c r="A138" t="str">
        <f t="shared" si="72"/>
        <v>VZ&amp;PC Nautilus 1</v>
      </c>
      <c r="B138">
        <f>'7'!B18</f>
        <v>6</v>
      </c>
      <c r="C138" t="str">
        <f>HLOOKUP(A138,spelerslijsten!$B$1:$J$22,11,FALSE)</f>
        <v>Jan Zegers</v>
      </c>
      <c r="D138">
        <f>'7'!V18</f>
        <v>0</v>
      </c>
      <c r="F138" t="str">
        <f t="shared" si="70"/>
        <v>VZ&amp;PC Nautilus 16Jan Zegers</v>
      </c>
      <c r="G138">
        <f t="shared" si="71"/>
        <v>0</v>
      </c>
    </row>
    <row r="139" spans="1:7" x14ac:dyDescent="0.3">
      <c r="A139" t="str">
        <f t="shared" si="72"/>
        <v>VZ&amp;PC Nautilus 1</v>
      </c>
      <c r="B139">
        <f>'7'!B19</f>
        <v>9</v>
      </c>
      <c r="C139" t="str">
        <f>HLOOKUP(A139,spelerslijsten!$B$1:$J$22,13,FALSE)</f>
        <v>Christian Gibbels</v>
      </c>
      <c r="D139">
        <f>'7'!V19</f>
        <v>0</v>
      </c>
      <c r="F139" t="str">
        <f t="shared" si="70"/>
        <v>VZ&amp;PC Nautilus 19Christian Gibbels</v>
      </c>
      <c r="G139">
        <f t="shared" si="71"/>
        <v>0</v>
      </c>
    </row>
    <row r="140" spans="1:7" x14ac:dyDescent="0.3">
      <c r="A140" t="str">
        <f t="shared" si="72"/>
        <v>VZ&amp;PC Nautilus 1</v>
      </c>
      <c r="B140">
        <f>'7'!B20</f>
        <v>10</v>
      </c>
      <c r="C140" t="str">
        <f>HLOOKUP(A140,spelerslijsten!$B$1:$J$22,15,FALSE)</f>
        <v>Stefan van der Wielen</v>
      </c>
      <c r="D140">
        <f>'7'!V20</f>
        <v>0</v>
      </c>
      <c r="F140" t="str">
        <f t="shared" si="70"/>
        <v>VZ&amp;PC Nautilus 110Stefan van der Wielen</v>
      </c>
      <c r="G140">
        <f t="shared" si="71"/>
        <v>0</v>
      </c>
    </row>
    <row r="141" spans="1:7" x14ac:dyDescent="0.3">
      <c r="A141" t="str">
        <f t="shared" si="72"/>
        <v>VZ&amp;PC Nautilus 1</v>
      </c>
      <c r="B141" t="str">
        <f>'7'!B21</f>
        <v/>
      </c>
      <c r="C141">
        <f>HLOOKUP(A141,spelerslijsten!$B$1:$J$22,17,FALSE)</f>
        <v>0</v>
      </c>
      <c r="D141">
        <f>'7'!V21</f>
        <v>0</v>
      </c>
      <c r="F141" t="str">
        <f t="shared" si="70"/>
        <v>VZ&amp;PC Nautilus 10</v>
      </c>
      <c r="G141">
        <f t="shared" si="71"/>
        <v>0</v>
      </c>
    </row>
    <row r="142" spans="1:7" x14ac:dyDescent="0.3">
      <c r="A142" t="str">
        <f t="shared" si="72"/>
        <v>VZ&amp;PC Nautilus 1</v>
      </c>
      <c r="B142" t="str">
        <f>'7'!B22</f>
        <v/>
      </c>
      <c r="C142">
        <f>HLOOKUP(A142,spelerslijsten!$B$1:$J$22,19,FALSE)</f>
        <v>0</v>
      </c>
      <c r="D142">
        <f>'7'!V22</f>
        <v>0</v>
      </c>
      <c r="F142" t="str">
        <f t="shared" si="70"/>
        <v>VZ&amp;PC Nautilus 10</v>
      </c>
      <c r="G142">
        <f t="shared" si="71"/>
        <v>0</v>
      </c>
    </row>
    <row r="143" spans="1:7" x14ac:dyDescent="0.3">
      <c r="A143" t="str">
        <f t="shared" si="72"/>
        <v>VZ&amp;PC Nautilus 1</v>
      </c>
      <c r="B143" t="str">
        <f>'7'!B23</f>
        <v/>
      </c>
      <c r="C143">
        <f>HLOOKUP(A143,spelerslijsten!$B$1:$J$22,21,FALSE)</f>
        <v>0</v>
      </c>
      <c r="D143">
        <f>'7'!V23</f>
        <v>0</v>
      </c>
      <c r="F143" t="str">
        <f t="shared" si="70"/>
        <v>VZ&amp;PC Nautilus 10</v>
      </c>
      <c r="G143">
        <f t="shared" si="71"/>
        <v>0</v>
      </c>
    </row>
    <row r="144" spans="1:7" x14ac:dyDescent="0.3">
      <c r="F144" t="str">
        <f t="shared" si="70"/>
        <v/>
      </c>
      <c r="G144">
        <f t="shared" si="71"/>
        <v>0</v>
      </c>
    </row>
    <row r="145" spans="1:7" x14ac:dyDescent="0.3">
      <c r="A145" t="str">
        <f>Wedstrijden!I12</f>
        <v>Gesposs Blauw</v>
      </c>
      <c r="B145">
        <f>'7'!B30</f>
        <v>2</v>
      </c>
      <c r="C145" t="str">
        <f>HLOOKUP(A145,spelerslijsten!$B$1:$J$22,3,FALSE)</f>
        <v>Jack Steeghs</v>
      </c>
      <c r="D145">
        <f>'7'!V30</f>
        <v>0</v>
      </c>
      <c r="F145" t="str">
        <f t="shared" si="70"/>
        <v>Gesposs Blauw2Jack Steeghs</v>
      </c>
      <c r="G145">
        <f t="shared" si="71"/>
        <v>0</v>
      </c>
    </row>
    <row r="146" spans="1:7" x14ac:dyDescent="0.3">
      <c r="A146" t="str">
        <f>A145</f>
        <v>Gesposs Blauw</v>
      </c>
      <c r="B146">
        <f>'7'!B31</f>
        <v>3</v>
      </c>
      <c r="C146" t="str">
        <f>HLOOKUP(A146,spelerslijsten!$B$1:$J$22,5,FALSE)</f>
        <v>Niels Venterink</v>
      </c>
      <c r="D146">
        <f>'7'!V31</f>
        <v>0</v>
      </c>
      <c r="F146" t="str">
        <f t="shared" si="70"/>
        <v>Gesposs Blauw3Niels Venterink</v>
      </c>
      <c r="G146">
        <f t="shared" si="71"/>
        <v>0</v>
      </c>
    </row>
    <row r="147" spans="1:7" x14ac:dyDescent="0.3">
      <c r="A147" t="str">
        <f t="shared" ref="A147:A154" si="73">A146</f>
        <v>Gesposs Blauw</v>
      </c>
      <c r="B147">
        <f>'7'!B32</f>
        <v>4</v>
      </c>
      <c r="C147" t="str">
        <f>HLOOKUP(A147,spelerslijsten!$B$1:$J$22,7,FALSE)</f>
        <v>Wendy Kuysters</v>
      </c>
      <c r="D147">
        <f>'7'!V32</f>
        <v>0</v>
      </c>
      <c r="F147" t="str">
        <f t="shared" si="70"/>
        <v>Gesposs Blauw4Wendy Kuysters</v>
      </c>
      <c r="G147">
        <f t="shared" si="71"/>
        <v>0</v>
      </c>
    </row>
    <row r="148" spans="1:7" x14ac:dyDescent="0.3">
      <c r="A148" t="str">
        <f t="shared" si="73"/>
        <v>Gesposs Blauw</v>
      </c>
      <c r="B148">
        <f>'7'!B33</f>
        <v>6</v>
      </c>
      <c r="C148" t="str">
        <f>HLOOKUP(A148,spelerslijsten!$B$1:$J$22,9,FALSE)</f>
        <v>Kristel Henst</v>
      </c>
      <c r="D148">
        <f>'7'!V33</f>
        <v>0</v>
      </c>
      <c r="F148" t="str">
        <f t="shared" si="70"/>
        <v>Gesposs Blauw6Kristel Henst</v>
      </c>
      <c r="G148">
        <f t="shared" si="71"/>
        <v>0</v>
      </c>
    </row>
    <row r="149" spans="1:7" x14ac:dyDescent="0.3">
      <c r="A149" t="str">
        <f t="shared" si="73"/>
        <v>Gesposs Blauw</v>
      </c>
      <c r="B149">
        <f>'7'!B34</f>
        <v>7</v>
      </c>
      <c r="C149" t="str">
        <f>HLOOKUP(A149,spelerslijsten!$B$1:$J$22,11,FALSE)</f>
        <v>Wout Reininga</v>
      </c>
      <c r="D149">
        <f>'7'!V34</f>
        <v>1</v>
      </c>
      <c r="F149" t="str">
        <f t="shared" si="70"/>
        <v>Gesposs Blauw7Wout Reininga</v>
      </c>
      <c r="G149">
        <f t="shared" si="71"/>
        <v>1</v>
      </c>
    </row>
    <row r="150" spans="1:7" x14ac:dyDescent="0.3">
      <c r="A150" t="str">
        <f t="shared" si="73"/>
        <v>Gesposs Blauw</v>
      </c>
      <c r="B150">
        <f>'7'!B35</f>
        <v>8</v>
      </c>
      <c r="C150" t="str">
        <f>HLOOKUP(A150,spelerslijsten!$B$1:$J$22,13,FALSE)</f>
        <v>Romy Hoed-Venterink</v>
      </c>
      <c r="D150">
        <f>'7'!V35</f>
        <v>3</v>
      </c>
      <c r="F150" t="str">
        <f t="shared" si="70"/>
        <v>Gesposs Blauw8Romy Hoed-Venterink</v>
      </c>
      <c r="G150">
        <f t="shared" si="71"/>
        <v>3</v>
      </c>
    </row>
    <row r="151" spans="1:7" x14ac:dyDescent="0.3">
      <c r="A151" t="str">
        <f t="shared" si="73"/>
        <v>Gesposs Blauw</v>
      </c>
      <c r="B151">
        <f>'7'!B36</f>
        <v>9</v>
      </c>
      <c r="C151" t="str">
        <f>HLOOKUP(A151,spelerslijsten!$B$1:$J$22,15,FALSE)</f>
        <v>Marieke van Namen</v>
      </c>
      <c r="D151">
        <f>'7'!V36</f>
        <v>0</v>
      </c>
      <c r="F151" t="str">
        <f t="shared" si="70"/>
        <v>Gesposs Blauw9Marieke van Namen</v>
      </c>
      <c r="G151">
        <f t="shared" si="71"/>
        <v>0</v>
      </c>
    </row>
    <row r="152" spans="1:7" x14ac:dyDescent="0.3">
      <c r="A152" t="str">
        <f t="shared" si="73"/>
        <v>Gesposs Blauw</v>
      </c>
      <c r="B152">
        <f>'7'!B37</f>
        <v>10</v>
      </c>
      <c r="C152" t="str">
        <f>HLOOKUP(A152,spelerslijsten!$B$1:$J$22,17,FALSE)</f>
        <v>Manon Dekkers</v>
      </c>
      <c r="D152">
        <f>'7'!V37</f>
        <v>1</v>
      </c>
      <c r="F152" t="str">
        <f t="shared" si="70"/>
        <v>Gesposs Blauw10Manon Dekkers</v>
      </c>
      <c r="G152">
        <f t="shared" si="71"/>
        <v>1</v>
      </c>
    </row>
    <row r="153" spans="1:7" x14ac:dyDescent="0.3">
      <c r="A153" t="str">
        <f t="shared" si="73"/>
        <v>Gesposs Blauw</v>
      </c>
      <c r="B153">
        <f>'7'!B38</f>
        <v>11</v>
      </c>
      <c r="C153" t="str">
        <f>HLOOKUP(A153,spelerslijsten!$B$1:$J$22,19,FALSE)</f>
        <v>Celine van de Heuvel</v>
      </c>
      <c r="D153">
        <f>'7'!V38</f>
        <v>0</v>
      </c>
      <c r="F153" t="str">
        <f t="shared" si="70"/>
        <v>Gesposs Blauw11Celine van de Heuvel</v>
      </c>
      <c r="G153">
        <f t="shared" si="71"/>
        <v>0</v>
      </c>
    </row>
    <row r="154" spans="1:7" x14ac:dyDescent="0.3">
      <c r="A154" t="str">
        <f t="shared" si="73"/>
        <v>Gesposs Blauw</v>
      </c>
      <c r="B154" t="str">
        <f>'7'!B39</f>
        <v/>
      </c>
      <c r="C154">
        <f>HLOOKUP(A154,spelerslijsten!$B$1:$J$22,21,FALSE)</f>
        <v>0</v>
      </c>
      <c r="D154">
        <f>'7'!V39</f>
        <v>0</v>
      </c>
      <c r="F154" t="str">
        <f t="shared" si="70"/>
        <v>Gesposs Blauw0</v>
      </c>
      <c r="G154">
        <f t="shared" si="71"/>
        <v>0</v>
      </c>
    </row>
    <row r="155" spans="1:7" x14ac:dyDescent="0.3">
      <c r="A155" t="s">
        <v>87</v>
      </c>
      <c r="F155" t="str">
        <f t="shared" si="70"/>
        <v>Wed 8</v>
      </c>
      <c r="G155">
        <f t="shared" si="71"/>
        <v>0</v>
      </c>
    </row>
    <row r="156" spans="1:7" x14ac:dyDescent="0.3">
      <c r="A156" t="str">
        <f>Wedstrijden!E13</f>
        <v>De Tubanten 1</v>
      </c>
      <c r="B156">
        <f>'8'!B14</f>
        <v>2</v>
      </c>
      <c r="C156" t="str">
        <f>HLOOKUP(A156,spelerslijsten!$B$1:$J$22,3,FALSE)</f>
        <v>Sean Williams</v>
      </c>
      <c r="D156">
        <f>'8'!V14</f>
        <v>0</v>
      </c>
      <c r="F156" t="str">
        <f t="shared" si="70"/>
        <v>De Tubanten 12Sean Williams</v>
      </c>
      <c r="G156">
        <f t="shared" si="71"/>
        <v>0</v>
      </c>
    </row>
    <row r="157" spans="1:7" x14ac:dyDescent="0.3">
      <c r="A157" t="str">
        <f>A156</f>
        <v>De Tubanten 1</v>
      </c>
      <c r="B157">
        <f>'8'!B15</f>
        <v>3</v>
      </c>
      <c r="C157" t="str">
        <f>HLOOKUP(A157,spelerslijsten!$B$1:$J$22,5,FALSE)</f>
        <v>Liam Williams</v>
      </c>
      <c r="D157">
        <f>'8'!V15</f>
        <v>0</v>
      </c>
      <c r="F157" t="str">
        <f t="shared" si="70"/>
        <v>De Tubanten 13Liam Williams</v>
      </c>
      <c r="G157">
        <f t="shared" si="71"/>
        <v>0</v>
      </c>
    </row>
    <row r="158" spans="1:7" x14ac:dyDescent="0.3">
      <c r="A158" t="str">
        <f t="shared" ref="A158:A165" si="74">A157</f>
        <v>De Tubanten 1</v>
      </c>
      <c r="B158">
        <f>'8'!B16</f>
        <v>4</v>
      </c>
      <c r="C158" t="str">
        <f>HLOOKUP(A158,spelerslijsten!$B$1:$J$22,7,FALSE)</f>
        <v>Andre Buitink</v>
      </c>
      <c r="D158">
        <f>'8'!V16</f>
        <v>1</v>
      </c>
      <c r="F158" t="str">
        <f t="shared" si="70"/>
        <v>De Tubanten 14Andre Buitink</v>
      </c>
      <c r="G158">
        <f t="shared" si="71"/>
        <v>1</v>
      </c>
    </row>
    <row r="159" spans="1:7" x14ac:dyDescent="0.3">
      <c r="A159" t="str">
        <f t="shared" si="74"/>
        <v>De Tubanten 1</v>
      </c>
      <c r="B159">
        <f>'8'!B17</f>
        <v>5</v>
      </c>
      <c r="C159" t="str">
        <f>HLOOKUP(A159,spelerslijsten!$B$1:$J$22,9,FALSE)</f>
        <v>Marco Ensink</v>
      </c>
      <c r="D159">
        <f>'8'!V17</f>
        <v>0</v>
      </c>
      <c r="F159" t="str">
        <f t="shared" si="70"/>
        <v>De Tubanten 15Marco Ensink</v>
      </c>
      <c r="G159">
        <f t="shared" si="71"/>
        <v>0</v>
      </c>
    </row>
    <row r="160" spans="1:7" x14ac:dyDescent="0.3">
      <c r="A160" t="str">
        <f t="shared" si="74"/>
        <v>De Tubanten 1</v>
      </c>
      <c r="B160">
        <f>'8'!B18</f>
        <v>6</v>
      </c>
      <c r="C160" t="str">
        <f>HLOOKUP(A160,spelerslijsten!$B$1:$J$22,11,FALSE)</f>
        <v>Precilla Beune</v>
      </c>
      <c r="D160">
        <f>'8'!V18</f>
        <v>2</v>
      </c>
      <c r="F160" t="str">
        <f t="shared" si="70"/>
        <v>De Tubanten 16Precilla Beune</v>
      </c>
      <c r="G160">
        <f t="shared" si="71"/>
        <v>2</v>
      </c>
    </row>
    <row r="161" spans="1:7" x14ac:dyDescent="0.3">
      <c r="A161" t="str">
        <f t="shared" si="74"/>
        <v>De Tubanten 1</v>
      </c>
      <c r="B161">
        <f>'8'!B19</f>
        <v>7</v>
      </c>
      <c r="C161" t="str">
        <f>HLOOKUP(A161,spelerslijsten!$B$1:$J$22,13,FALSE)</f>
        <v>Timo Hazelhoff</v>
      </c>
      <c r="D161">
        <f>'8'!V19</f>
        <v>2</v>
      </c>
      <c r="F161" t="str">
        <f t="shared" si="70"/>
        <v>De Tubanten 17Timo Hazelhoff</v>
      </c>
      <c r="G161">
        <f t="shared" si="71"/>
        <v>2</v>
      </c>
    </row>
    <row r="162" spans="1:7" x14ac:dyDescent="0.3">
      <c r="A162" t="str">
        <f t="shared" si="74"/>
        <v>De Tubanten 1</v>
      </c>
      <c r="B162">
        <f>'8'!B20</f>
        <v>8</v>
      </c>
      <c r="C162" t="str">
        <f>HLOOKUP(A162,spelerslijsten!$B$1:$J$22,15,FALSE)</f>
        <v>Mike Regtop</v>
      </c>
      <c r="D162">
        <f>'8'!V20</f>
        <v>0</v>
      </c>
      <c r="F162" t="str">
        <f t="shared" si="70"/>
        <v>De Tubanten 18Mike Regtop</v>
      </c>
      <c r="G162">
        <f t="shared" si="71"/>
        <v>0</v>
      </c>
    </row>
    <row r="163" spans="1:7" x14ac:dyDescent="0.3">
      <c r="A163" t="str">
        <f t="shared" si="74"/>
        <v>De Tubanten 1</v>
      </c>
      <c r="B163" t="str">
        <f>'8'!B21</f>
        <v/>
      </c>
      <c r="C163">
        <f>HLOOKUP(A163,spelerslijsten!$B$1:$J$22,17,FALSE)</f>
        <v>0</v>
      </c>
      <c r="D163">
        <f>'8'!V21</f>
        <v>0</v>
      </c>
      <c r="F163" t="str">
        <f t="shared" si="70"/>
        <v>De Tubanten 10</v>
      </c>
      <c r="G163">
        <f t="shared" si="71"/>
        <v>0</v>
      </c>
    </row>
    <row r="164" spans="1:7" x14ac:dyDescent="0.3">
      <c r="A164" t="str">
        <f t="shared" si="74"/>
        <v>De Tubanten 1</v>
      </c>
      <c r="B164" t="str">
        <f>'8'!B22</f>
        <v/>
      </c>
      <c r="C164">
        <f>HLOOKUP(A164,spelerslijsten!$B$1:$J$22,19,FALSE)</f>
        <v>0</v>
      </c>
      <c r="D164">
        <f>'8'!V22</f>
        <v>0</v>
      </c>
      <c r="F164" t="str">
        <f t="shared" si="70"/>
        <v>De Tubanten 10</v>
      </c>
      <c r="G164">
        <f t="shared" si="71"/>
        <v>0</v>
      </c>
    </row>
    <row r="165" spans="1:7" x14ac:dyDescent="0.3">
      <c r="A165" t="str">
        <f t="shared" si="74"/>
        <v>De Tubanten 1</v>
      </c>
      <c r="B165" t="str">
        <f>'8'!B23</f>
        <v/>
      </c>
      <c r="C165">
        <f>HLOOKUP(A165,spelerslijsten!$B$1:$J$22,21,FALSE)</f>
        <v>0</v>
      </c>
      <c r="D165">
        <f>'8'!V23</f>
        <v>0</v>
      </c>
      <c r="F165" t="str">
        <f t="shared" si="70"/>
        <v>De Tubanten 10</v>
      </c>
      <c r="G165">
        <f t="shared" si="71"/>
        <v>0</v>
      </c>
    </row>
    <row r="166" spans="1:7" x14ac:dyDescent="0.3">
      <c r="F166" t="str">
        <f t="shared" si="70"/>
        <v/>
      </c>
      <c r="G166">
        <f t="shared" si="71"/>
        <v>0</v>
      </c>
    </row>
    <row r="167" spans="1:7" x14ac:dyDescent="0.3">
      <c r="A167" t="str">
        <f>Wedstrijden!I13</f>
        <v>VZ&amp;PC Nautilus 2</v>
      </c>
      <c r="B167">
        <f>'8'!B30</f>
        <v>2</v>
      </c>
      <c r="C167" t="str">
        <f>HLOOKUP(A167,spelerslijsten!$B$1:$J$22,3,FALSE)</f>
        <v>Willy van Grunsven</v>
      </c>
      <c r="D167">
        <f>'8'!V30</f>
        <v>0</v>
      </c>
      <c r="F167" t="str">
        <f t="shared" si="70"/>
        <v>VZ&amp;PC Nautilus 22Willy van Grunsven</v>
      </c>
      <c r="G167">
        <f t="shared" si="71"/>
        <v>0</v>
      </c>
    </row>
    <row r="168" spans="1:7" x14ac:dyDescent="0.3">
      <c r="A168" t="str">
        <f>A167</f>
        <v>VZ&amp;PC Nautilus 2</v>
      </c>
      <c r="B168">
        <f>'8'!B31</f>
        <v>3</v>
      </c>
      <c r="C168" t="str">
        <f>HLOOKUP(A168,spelerslijsten!$B$1:$J$22,5,FALSE)</f>
        <v>Manuel Bastiaans</v>
      </c>
      <c r="D168">
        <f>'8'!V31</f>
        <v>0</v>
      </c>
      <c r="F168" t="str">
        <f t="shared" si="70"/>
        <v>VZ&amp;PC Nautilus 23Manuel Bastiaans</v>
      </c>
      <c r="G168">
        <f t="shared" si="71"/>
        <v>0</v>
      </c>
    </row>
    <row r="169" spans="1:7" x14ac:dyDescent="0.3">
      <c r="A169" t="str">
        <f t="shared" ref="A169:A176" si="75">A168</f>
        <v>VZ&amp;PC Nautilus 2</v>
      </c>
      <c r="B169">
        <f>'8'!B32</f>
        <v>4</v>
      </c>
      <c r="C169" t="str">
        <f>HLOOKUP(A169,spelerslijsten!$B$1:$J$22,7,FALSE)</f>
        <v>Marga Schouten</v>
      </c>
      <c r="D169">
        <f>'8'!V32</f>
        <v>0</v>
      </c>
      <c r="F169" t="str">
        <f t="shared" si="70"/>
        <v>VZ&amp;PC Nautilus 24Marga Schouten</v>
      </c>
      <c r="G169">
        <f t="shared" si="71"/>
        <v>0</v>
      </c>
    </row>
    <row r="170" spans="1:7" x14ac:dyDescent="0.3">
      <c r="A170" t="str">
        <f t="shared" si="75"/>
        <v>VZ&amp;PC Nautilus 2</v>
      </c>
      <c r="B170">
        <f>'8'!B33</f>
        <v>6</v>
      </c>
      <c r="C170" t="str">
        <f>HLOOKUP(A170,spelerslijsten!$B$1:$J$22,9,FALSE)</f>
        <v>Anja Braken</v>
      </c>
      <c r="D170">
        <f>'8'!V33</f>
        <v>0</v>
      </c>
      <c r="F170" t="str">
        <f t="shared" si="70"/>
        <v>VZ&amp;PC Nautilus 26Anja Braken</v>
      </c>
      <c r="G170">
        <f t="shared" si="71"/>
        <v>0</v>
      </c>
    </row>
    <row r="171" spans="1:7" x14ac:dyDescent="0.3">
      <c r="A171" t="str">
        <f t="shared" si="75"/>
        <v>VZ&amp;PC Nautilus 2</v>
      </c>
      <c r="B171">
        <f>'8'!B34</f>
        <v>7</v>
      </c>
      <c r="C171" t="str">
        <f>HLOOKUP(A171,spelerslijsten!$B$1:$J$22,11,FALSE)</f>
        <v>Mieke van Gerwen</v>
      </c>
      <c r="D171">
        <f>'8'!V34</f>
        <v>0</v>
      </c>
      <c r="F171" t="str">
        <f t="shared" si="70"/>
        <v>VZ&amp;PC Nautilus 27Mieke van Gerwen</v>
      </c>
      <c r="G171">
        <f t="shared" si="71"/>
        <v>0</v>
      </c>
    </row>
    <row r="172" spans="1:7" x14ac:dyDescent="0.3">
      <c r="A172" t="str">
        <f t="shared" si="75"/>
        <v>VZ&amp;PC Nautilus 2</v>
      </c>
      <c r="B172">
        <f>'8'!B35</f>
        <v>8</v>
      </c>
      <c r="C172" t="str">
        <f>HLOOKUP(A172,spelerslijsten!$B$1:$J$22,13,FALSE)</f>
        <v>Susan van Wanrooy</v>
      </c>
      <c r="D172">
        <f>'8'!V35</f>
        <v>1</v>
      </c>
      <c r="F172" t="str">
        <f t="shared" si="70"/>
        <v>VZ&amp;PC Nautilus 28Susan van Wanrooy</v>
      </c>
      <c r="G172">
        <f t="shared" si="71"/>
        <v>1</v>
      </c>
    </row>
    <row r="173" spans="1:7" x14ac:dyDescent="0.3">
      <c r="A173" t="str">
        <f t="shared" si="75"/>
        <v>VZ&amp;PC Nautilus 2</v>
      </c>
      <c r="B173">
        <f>'8'!B36</f>
        <v>10</v>
      </c>
      <c r="C173" t="str">
        <f>HLOOKUP(A173,spelerslijsten!$B$1:$J$22,15,FALSE)</f>
        <v>Jeffrey Danen</v>
      </c>
      <c r="D173">
        <f>'8'!V36</f>
        <v>2</v>
      </c>
      <c r="F173" t="str">
        <f t="shared" si="70"/>
        <v>VZ&amp;PC Nautilus 210Jeffrey Danen</v>
      </c>
      <c r="G173">
        <f t="shared" si="71"/>
        <v>2</v>
      </c>
    </row>
    <row r="174" spans="1:7" x14ac:dyDescent="0.3">
      <c r="A174" t="str">
        <f t="shared" si="75"/>
        <v>VZ&amp;PC Nautilus 2</v>
      </c>
      <c r="B174" t="str">
        <f>'8'!B37</f>
        <v/>
      </c>
      <c r="C174">
        <f>HLOOKUP(A174,spelerslijsten!$B$1:$J$22,17,FALSE)</f>
        <v>0</v>
      </c>
      <c r="D174">
        <f>'8'!V37</f>
        <v>0</v>
      </c>
      <c r="F174" t="str">
        <f t="shared" si="70"/>
        <v>VZ&amp;PC Nautilus 20</v>
      </c>
      <c r="G174">
        <f t="shared" si="71"/>
        <v>0</v>
      </c>
    </row>
    <row r="175" spans="1:7" x14ac:dyDescent="0.3">
      <c r="A175" t="str">
        <f t="shared" si="75"/>
        <v>VZ&amp;PC Nautilus 2</v>
      </c>
      <c r="B175" t="str">
        <f>'8'!B38</f>
        <v/>
      </c>
      <c r="C175">
        <f>HLOOKUP(A175,spelerslijsten!$B$1:$J$22,19,FALSE)</f>
        <v>0</v>
      </c>
      <c r="D175">
        <f>'8'!V38</f>
        <v>0</v>
      </c>
      <c r="F175" t="str">
        <f t="shared" si="70"/>
        <v>VZ&amp;PC Nautilus 20</v>
      </c>
      <c r="G175">
        <f t="shared" si="71"/>
        <v>0</v>
      </c>
    </row>
    <row r="176" spans="1:7" x14ac:dyDescent="0.3">
      <c r="A176" t="str">
        <f t="shared" si="75"/>
        <v>VZ&amp;PC Nautilus 2</v>
      </c>
      <c r="B176" t="str">
        <f>'8'!B39</f>
        <v/>
      </c>
      <c r="C176">
        <f>HLOOKUP(A176,spelerslijsten!$B$1:$J$22,21,FALSE)</f>
        <v>0</v>
      </c>
      <c r="D176">
        <f>'8'!V39</f>
        <v>0</v>
      </c>
      <c r="F176" t="str">
        <f t="shared" si="70"/>
        <v>VZ&amp;PC Nautilus 20</v>
      </c>
      <c r="G176">
        <f t="shared" si="71"/>
        <v>0</v>
      </c>
    </row>
    <row r="177" spans="1:7" x14ac:dyDescent="0.3">
      <c r="A177" t="s">
        <v>88</v>
      </c>
      <c r="F177" t="str">
        <f t="shared" si="70"/>
        <v>Wed 9</v>
      </c>
      <c r="G177">
        <f t="shared" si="71"/>
        <v>0</v>
      </c>
    </row>
    <row r="178" spans="1:7" x14ac:dyDescent="0.3">
      <c r="A178" t="str">
        <f>Wedstrijden!E14</f>
        <v>RZ Roermond</v>
      </c>
      <c r="B178">
        <f>'9'!B14</f>
        <v>3</v>
      </c>
      <c r="C178" t="str">
        <f>HLOOKUP(A178,spelerslijsten!$B$1:$J$22,3,FALSE)</f>
        <v>Helga Addink</v>
      </c>
      <c r="D178">
        <f>'9'!V14</f>
        <v>0</v>
      </c>
      <c r="F178" t="str">
        <f t="shared" si="70"/>
        <v>RZ Roermond3Helga Addink</v>
      </c>
      <c r="G178">
        <f t="shared" si="71"/>
        <v>0</v>
      </c>
    </row>
    <row r="179" spans="1:7" x14ac:dyDescent="0.3">
      <c r="A179" t="str">
        <f>A178</f>
        <v>RZ Roermond</v>
      </c>
      <c r="B179">
        <f>'9'!B15</f>
        <v>4</v>
      </c>
      <c r="C179" t="str">
        <f>HLOOKUP(A179,spelerslijsten!$B$1:$J$22,5,FALSE)</f>
        <v>Werner Dudek</v>
      </c>
      <c r="D179">
        <f>'9'!V15</f>
        <v>1</v>
      </c>
      <c r="F179" t="str">
        <f t="shared" si="70"/>
        <v>RZ Roermond4Werner Dudek</v>
      </c>
      <c r="G179">
        <f t="shared" si="71"/>
        <v>1</v>
      </c>
    </row>
    <row r="180" spans="1:7" x14ac:dyDescent="0.3">
      <c r="A180" t="str">
        <f t="shared" ref="A180:A187" si="76">A179</f>
        <v>RZ Roermond</v>
      </c>
      <c r="B180">
        <f>'9'!B16</f>
        <v>5</v>
      </c>
      <c r="C180" t="str">
        <f>HLOOKUP(A180,spelerslijsten!$B$1:$J$22,7,FALSE)</f>
        <v>Luc Mulder</v>
      </c>
      <c r="D180">
        <f>'9'!V16</f>
        <v>0</v>
      </c>
      <c r="F180" t="str">
        <f t="shared" si="70"/>
        <v>RZ Roermond5Luc Mulder</v>
      </c>
      <c r="G180">
        <f t="shared" si="71"/>
        <v>0</v>
      </c>
    </row>
    <row r="181" spans="1:7" x14ac:dyDescent="0.3">
      <c r="A181" t="str">
        <f t="shared" si="76"/>
        <v>RZ Roermond</v>
      </c>
      <c r="B181">
        <f>'9'!B17</f>
        <v>7</v>
      </c>
      <c r="C181" t="str">
        <f>HLOOKUP(A181,spelerslijsten!$B$1:$J$22,9,FALSE)</f>
        <v>Ties Bouten</v>
      </c>
      <c r="D181">
        <f>'9'!V17</f>
        <v>0</v>
      </c>
      <c r="F181" t="str">
        <f t="shared" si="70"/>
        <v>RZ Roermond7Ties Bouten</v>
      </c>
      <c r="G181">
        <f t="shared" si="71"/>
        <v>0</v>
      </c>
    </row>
    <row r="182" spans="1:7" x14ac:dyDescent="0.3">
      <c r="A182" t="str">
        <f t="shared" si="76"/>
        <v>RZ Roermond</v>
      </c>
      <c r="B182">
        <f>'9'!B18</f>
        <v>9</v>
      </c>
      <c r="C182" t="str">
        <f>HLOOKUP(A182,spelerslijsten!$B$1:$J$22,11,FALSE)</f>
        <v>Wilma van Helden</v>
      </c>
      <c r="D182">
        <f>'9'!V18</f>
        <v>2</v>
      </c>
      <c r="F182" t="str">
        <f t="shared" si="70"/>
        <v>RZ Roermond9Wilma van Helden</v>
      </c>
      <c r="G182">
        <f t="shared" si="71"/>
        <v>2</v>
      </c>
    </row>
    <row r="183" spans="1:7" x14ac:dyDescent="0.3">
      <c r="A183" t="str">
        <f t="shared" si="76"/>
        <v>RZ Roermond</v>
      </c>
      <c r="B183">
        <f>'9'!B19</f>
        <v>11</v>
      </c>
      <c r="C183" t="str">
        <f>HLOOKUP(A183,spelerslijsten!$B$1:$J$22,13,FALSE)</f>
        <v>Sonja Bouten</v>
      </c>
      <c r="D183">
        <f>'9'!V19</f>
        <v>0</v>
      </c>
      <c r="F183" t="str">
        <f t="shared" si="70"/>
        <v>RZ Roermond11Sonja Bouten</v>
      </c>
      <c r="G183">
        <f t="shared" si="71"/>
        <v>0</v>
      </c>
    </row>
    <row r="184" spans="1:7" x14ac:dyDescent="0.3">
      <c r="A184" t="str">
        <f t="shared" si="76"/>
        <v>RZ Roermond</v>
      </c>
      <c r="B184">
        <f>'9'!B20</f>
        <v>12</v>
      </c>
      <c r="C184" t="str">
        <f>HLOOKUP(A184,spelerslijsten!$B$1:$J$22,15,FALSE)</f>
        <v>Hans Reijnders (leen)</v>
      </c>
      <c r="D184">
        <f>'9'!V20</f>
        <v>0</v>
      </c>
      <c r="F184" t="str">
        <f t="shared" si="70"/>
        <v>RZ Roermond12Hans Reijnders (leen)</v>
      </c>
      <c r="G184">
        <f t="shared" si="71"/>
        <v>0</v>
      </c>
    </row>
    <row r="185" spans="1:7" x14ac:dyDescent="0.3">
      <c r="A185" t="str">
        <f t="shared" si="76"/>
        <v>RZ Roermond</v>
      </c>
      <c r="B185" t="str">
        <f>'9'!B21</f>
        <v/>
      </c>
      <c r="C185">
        <f>HLOOKUP(A185,spelerslijsten!$B$1:$J$22,17,FALSE)</f>
        <v>0</v>
      </c>
      <c r="D185">
        <f>'9'!V21</f>
        <v>0</v>
      </c>
      <c r="F185" t="str">
        <f t="shared" si="70"/>
        <v>RZ Roermond0</v>
      </c>
      <c r="G185">
        <f t="shared" si="71"/>
        <v>0</v>
      </c>
    </row>
    <row r="186" spans="1:7" x14ac:dyDescent="0.3">
      <c r="A186" t="str">
        <f t="shared" si="76"/>
        <v>RZ Roermond</v>
      </c>
      <c r="B186" t="str">
        <f>'9'!B22</f>
        <v/>
      </c>
      <c r="C186">
        <f>HLOOKUP(A186,spelerslijsten!$B$1:$J$22,19,FALSE)</f>
        <v>0</v>
      </c>
      <c r="D186">
        <f>'9'!V22</f>
        <v>0</v>
      </c>
      <c r="F186" t="str">
        <f t="shared" si="70"/>
        <v>RZ Roermond0</v>
      </c>
      <c r="G186">
        <f t="shared" si="71"/>
        <v>0</v>
      </c>
    </row>
    <row r="187" spans="1:7" x14ac:dyDescent="0.3">
      <c r="A187" t="str">
        <f t="shared" si="76"/>
        <v>RZ Roermond</v>
      </c>
      <c r="B187" t="str">
        <f>'9'!B23</f>
        <v/>
      </c>
      <c r="C187">
        <f>HLOOKUP(A187,spelerslijsten!$B$1:$J$22,21,FALSE)</f>
        <v>0</v>
      </c>
      <c r="D187">
        <f>'9'!V23</f>
        <v>0</v>
      </c>
      <c r="F187" t="str">
        <f t="shared" si="70"/>
        <v>RZ Roermond0</v>
      </c>
      <c r="G187">
        <f t="shared" si="71"/>
        <v>0</v>
      </c>
    </row>
    <row r="188" spans="1:7" x14ac:dyDescent="0.3">
      <c r="F188" t="str">
        <f t="shared" si="70"/>
        <v/>
      </c>
      <c r="G188">
        <f t="shared" si="71"/>
        <v>0</v>
      </c>
    </row>
    <row r="189" spans="1:7" x14ac:dyDescent="0.3">
      <c r="A189" t="str">
        <f>Wedstrijden!I14</f>
        <v>De Tubanten 2</v>
      </c>
      <c r="B189">
        <f>'9'!B30</f>
        <v>2</v>
      </c>
      <c r="C189" t="str">
        <f>HLOOKUP(A189,spelerslijsten!$B$1:$J$22,3,FALSE)</f>
        <v>Yevgeni Petrov</v>
      </c>
      <c r="D189">
        <f>'9'!V30</f>
        <v>0</v>
      </c>
      <c r="F189" t="str">
        <f t="shared" si="70"/>
        <v>De Tubanten 22Yevgeni Petrov</v>
      </c>
      <c r="G189">
        <f t="shared" si="71"/>
        <v>0</v>
      </c>
    </row>
    <row r="190" spans="1:7" x14ac:dyDescent="0.3">
      <c r="A190" t="str">
        <f>A189</f>
        <v>De Tubanten 2</v>
      </c>
      <c r="B190">
        <f>'9'!B31</f>
        <v>3</v>
      </c>
      <c r="C190" t="str">
        <f>HLOOKUP(A190,spelerslijsten!$B$1:$J$22,5,FALSE)</f>
        <v>Monique Bijker</v>
      </c>
      <c r="D190">
        <f>'9'!V31</f>
        <v>0</v>
      </c>
      <c r="F190" t="str">
        <f t="shared" si="70"/>
        <v>De Tubanten 23Monique Bijker</v>
      </c>
      <c r="G190">
        <f t="shared" si="71"/>
        <v>0</v>
      </c>
    </row>
    <row r="191" spans="1:7" x14ac:dyDescent="0.3">
      <c r="A191" t="str">
        <f t="shared" ref="A191:A198" si="77">A190</f>
        <v>De Tubanten 2</v>
      </c>
      <c r="B191">
        <f>'9'!B32</f>
        <v>4</v>
      </c>
      <c r="C191" t="str">
        <f>HLOOKUP(A191,spelerslijsten!$B$1:$J$22,7,FALSE)</f>
        <v>Leon Bijker</v>
      </c>
      <c r="D191">
        <f>'9'!V32</f>
        <v>2</v>
      </c>
      <c r="F191" t="str">
        <f t="shared" si="70"/>
        <v>De Tubanten 24Leon Bijker</v>
      </c>
      <c r="G191">
        <f t="shared" si="71"/>
        <v>2</v>
      </c>
    </row>
    <row r="192" spans="1:7" x14ac:dyDescent="0.3">
      <c r="A192" t="str">
        <f t="shared" si="77"/>
        <v>De Tubanten 2</v>
      </c>
      <c r="B192">
        <f>'9'!B33</f>
        <v>5</v>
      </c>
      <c r="C192" t="str">
        <f>HLOOKUP(A192,spelerslijsten!$B$1:$J$22,9,FALSE)</f>
        <v>Noah Hazelhoff</v>
      </c>
      <c r="D192">
        <f>'9'!V33</f>
        <v>1</v>
      </c>
      <c r="F192" t="str">
        <f t="shared" si="70"/>
        <v>De Tubanten 25Noah Hazelhoff</v>
      </c>
      <c r="G192">
        <f t="shared" si="71"/>
        <v>1</v>
      </c>
    </row>
    <row r="193" spans="1:7" x14ac:dyDescent="0.3">
      <c r="A193" t="str">
        <f t="shared" si="77"/>
        <v>De Tubanten 2</v>
      </c>
      <c r="B193">
        <f>'9'!B34</f>
        <v>6</v>
      </c>
      <c r="C193" t="str">
        <f>HLOOKUP(A193,spelerslijsten!$B$1:$J$22,11,FALSE)</f>
        <v>Joran van Achteren</v>
      </c>
      <c r="D193">
        <f>'9'!V34</f>
        <v>0</v>
      </c>
      <c r="F193" t="str">
        <f t="shared" si="70"/>
        <v>De Tubanten 26Joran van Achteren</v>
      </c>
      <c r="G193">
        <f t="shared" si="71"/>
        <v>0</v>
      </c>
    </row>
    <row r="194" spans="1:7" x14ac:dyDescent="0.3">
      <c r="A194" t="str">
        <f t="shared" si="77"/>
        <v>De Tubanten 2</v>
      </c>
      <c r="B194">
        <f>'9'!B35</f>
        <v>7</v>
      </c>
      <c r="C194" t="str">
        <f>HLOOKUP(A194,spelerslijsten!$B$1:$J$22,13,FALSE)</f>
        <v>Maiker Arends</v>
      </c>
      <c r="D194">
        <f>'9'!V35</f>
        <v>0</v>
      </c>
      <c r="F194" t="str">
        <f t="shared" si="70"/>
        <v>De Tubanten 27Maiker Arends</v>
      </c>
      <c r="G194">
        <f t="shared" si="71"/>
        <v>0</v>
      </c>
    </row>
    <row r="195" spans="1:7" x14ac:dyDescent="0.3">
      <c r="A195" t="str">
        <f t="shared" si="77"/>
        <v>De Tubanten 2</v>
      </c>
      <c r="B195">
        <f>'9'!B36</f>
        <v>9</v>
      </c>
      <c r="C195" t="str">
        <f>HLOOKUP(A195,spelerslijsten!$B$1:$J$22,15,FALSE)</f>
        <v>Wouter van Schip</v>
      </c>
      <c r="D195">
        <f>'9'!V36</f>
        <v>0</v>
      </c>
      <c r="F195" t="str">
        <f t="shared" ref="F195:F258" si="78">CONCATENATE(A195&amp;B195&amp;C195)</f>
        <v>De Tubanten 29Wouter van Schip</v>
      </c>
      <c r="G195">
        <f t="shared" ref="G195:G258" si="79">D195</f>
        <v>0</v>
      </c>
    </row>
    <row r="196" spans="1:7" x14ac:dyDescent="0.3">
      <c r="A196" t="str">
        <f t="shared" si="77"/>
        <v>De Tubanten 2</v>
      </c>
      <c r="B196">
        <f>'9'!B37</f>
        <v>10</v>
      </c>
      <c r="C196" t="str">
        <f>HLOOKUP(A196,spelerslijsten!$B$1:$J$22,17,FALSE)</f>
        <v>Bianca Verbeek</v>
      </c>
      <c r="D196">
        <f>'9'!V37</f>
        <v>2</v>
      </c>
      <c r="F196" t="str">
        <f t="shared" si="78"/>
        <v>De Tubanten 210Bianca Verbeek</v>
      </c>
      <c r="G196">
        <f t="shared" si="79"/>
        <v>2</v>
      </c>
    </row>
    <row r="197" spans="1:7" x14ac:dyDescent="0.3">
      <c r="A197" t="str">
        <f t="shared" si="77"/>
        <v>De Tubanten 2</v>
      </c>
      <c r="B197" t="str">
        <f>'9'!B38</f>
        <v/>
      </c>
      <c r="C197">
        <f>HLOOKUP(A197,spelerslijsten!$B$1:$J$22,19,FALSE)</f>
        <v>0</v>
      </c>
      <c r="D197">
        <f>'9'!V38</f>
        <v>0</v>
      </c>
      <c r="F197" t="str">
        <f t="shared" si="78"/>
        <v>De Tubanten 20</v>
      </c>
      <c r="G197">
        <f t="shared" si="79"/>
        <v>0</v>
      </c>
    </row>
    <row r="198" spans="1:7" x14ac:dyDescent="0.3">
      <c r="A198" t="str">
        <f t="shared" si="77"/>
        <v>De Tubanten 2</v>
      </c>
      <c r="B198" t="str">
        <f>'9'!B39</f>
        <v/>
      </c>
      <c r="C198">
        <f>HLOOKUP(A198,spelerslijsten!$B$1:$J$22,21,FALSE)</f>
        <v>0</v>
      </c>
      <c r="D198">
        <f>'9'!V39</f>
        <v>0</v>
      </c>
      <c r="F198" t="str">
        <f t="shared" si="78"/>
        <v>De Tubanten 20</v>
      </c>
      <c r="G198">
        <f t="shared" si="79"/>
        <v>0</v>
      </c>
    </row>
    <row r="199" spans="1:7" x14ac:dyDescent="0.3">
      <c r="A199" t="s">
        <v>89</v>
      </c>
      <c r="F199" t="str">
        <f t="shared" si="78"/>
        <v>Wed 10</v>
      </c>
      <c r="G199">
        <f t="shared" si="79"/>
        <v>0</v>
      </c>
    </row>
    <row r="200" spans="1:7" x14ac:dyDescent="0.3">
      <c r="A200" t="str">
        <f>Wedstrijden!E15</f>
        <v>Aqua Novio</v>
      </c>
      <c r="B200">
        <f>'10'!B14</f>
        <v>2</v>
      </c>
      <c r="C200" t="str">
        <f>HLOOKUP(A200,spelerslijsten!$B$1:$J$22,3,FALSE)</f>
        <v>Jop van Weel</v>
      </c>
      <c r="D200">
        <f>'10'!V14</f>
        <v>0</v>
      </c>
      <c r="F200" t="str">
        <f t="shared" si="78"/>
        <v>Aqua Novio2Jop van Weel</v>
      </c>
      <c r="G200">
        <f t="shared" si="79"/>
        <v>0</v>
      </c>
    </row>
    <row r="201" spans="1:7" x14ac:dyDescent="0.3">
      <c r="A201" t="str">
        <f>A200</f>
        <v>Aqua Novio</v>
      </c>
      <c r="B201">
        <f>'10'!B15</f>
        <v>3</v>
      </c>
      <c r="C201" t="str">
        <f>HLOOKUP(A201,spelerslijsten!$B$1:$J$22,5,FALSE)</f>
        <v>Collin Bijnen</v>
      </c>
      <c r="D201">
        <f>'10'!V15</f>
        <v>0</v>
      </c>
      <c r="F201" t="str">
        <f t="shared" si="78"/>
        <v>Aqua Novio3Collin Bijnen</v>
      </c>
      <c r="G201">
        <f t="shared" si="79"/>
        <v>0</v>
      </c>
    </row>
    <row r="202" spans="1:7" x14ac:dyDescent="0.3">
      <c r="A202" t="str">
        <f t="shared" ref="A202:A209" si="80">A201</f>
        <v>Aqua Novio</v>
      </c>
      <c r="B202">
        <f>'10'!B16</f>
        <v>4</v>
      </c>
      <c r="C202" t="str">
        <f>HLOOKUP(A202,spelerslijsten!$B$1:$J$22,7,FALSE)</f>
        <v>Lorenz Gerritz</v>
      </c>
      <c r="D202">
        <f>'10'!V16</f>
        <v>0</v>
      </c>
      <c r="F202" t="str">
        <f t="shared" si="78"/>
        <v>Aqua Novio4Lorenz Gerritz</v>
      </c>
      <c r="G202">
        <f t="shared" si="79"/>
        <v>0</v>
      </c>
    </row>
    <row r="203" spans="1:7" x14ac:dyDescent="0.3">
      <c r="A203" t="str">
        <f t="shared" si="80"/>
        <v>Aqua Novio</v>
      </c>
      <c r="B203">
        <f>'10'!B17</f>
        <v>5</v>
      </c>
      <c r="C203" t="str">
        <f>HLOOKUP(A203,spelerslijsten!$B$1:$J$22,9,FALSE)</f>
        <v>Maritz</v>
      </c>
      <c r="D203">
        <f>'10'!V17</f>
        <v>2</v>
      </c>
      <c r="F203" t="str">
        <f t="shared" si="78"/>
        <v>Aqua Novio5Maritz</v>
      </c>
      <c r="G203">
        <f t="shared" si="79"/>
        <v>2</v>
      </c>
    </row>
    <row r="204" spans="1:7" x14ac:dyDescent="0.3">
      <c r="A204" t="str">
        <f t="shared" si="80"/>
        <v>Aqua Novio</v>
      </c>
      <c r="B204">
        <f>'10'!B18</f>
        <v>7</v>
      </c>
      <c r="C204" t="str">
        <f>HLOOKUP(A204,spelerslijsten!$B$1:$J$22,11,FALSE)</f>
        <v>Doan Tran Thi Tuc</v>
      </c>
      <c r="D204">
        <f>'10'!V18</f>
        <v>0</v>
      </c>
      <c r="F204" t="str">
        <f t="shared" si="78"/>
        <v>Aqua Novio7Doan Tran Thi Tuc</v>
      </c>
      <c r="G204">
        <f t="shared" si="79"/>
        <v>0</v>
      </c>
    </row>
    <row r="205" spans="1:7" x14ac:dyDescent="0.3">
      <c r="A205" t="str">
        <f t="shared" si="80"/>
        <v>Aqua Novio</v>
      </c>
      <c r="B205">
        <f>'10'!B19</f>
        <v>8</v>
      </c>
      <c r="C205" t="str">
        <f>HLOOKUP(A205,spelerslijsten!$B$1:$J$22,13,FALSE)</f>
        <v>Lisa</v>
      </c>
      <c r="D205">
        <f>'10'!V19</f>
        <v>0</v>
      </c>
      <c r="F205" t="str">
        <f t="shared" si="78"/>
        <v>Aqua Novio8Lisa</v>
      </c>
      <c r="G205">
        <f t="shared" si="79"/>
        <v>0</v>
      </c>
    </row>
    <row r="206" spans="1:7" x14ac:dyDescent="0.3">
      <c r="A206" t="str">
        <f t="shared" si="80"/>
        <v>Aqua Novio</v>
      </c>
      <c r="B206">
        <f>'10'!B20</f>
        <v>9</v>
      </c>
      <c r="C206" t="str">
        <f>HLOOKUP(A206,spelerslijsten!$B$1:$J$22,15,FALSE)</f>
        <v>Mo</v>
      </c>
      <c r="D206">
        <f>'10'!V20</f>
        <v>0</v>
      </c>
      <c r="F206" t="str">
        <f t="shared" si="78"/>
        <v>Aqua Novio9Mo</v>
      </c>
      <c r="G206">
        <f t="shared" si="79"/>
        <v>0</v>
      </c>
    </row>
    <row r="207" spans="1:7" x14ac:dyDescent="0.3">
      <c r="A207" t="str">
        <f t="shared" si="80"/>
        <v>Aqua Novio</v>
      </c>
      <c r="B207">
        <f>'10'!B21</f>
        <v>12</v>
      </c>
      <c r="C207" t="str">
        <f>HLOOKUP(A207,spelerslijsten!$B$1:$J$22,17,FALSE)</f>
        <v>Siemen Pouwels</v>
      </c>
      <c r="D207">
        <f>'10'!V21</f>
        <v>2</v>
      </c>
      <c r="F207" t="str">
        <f t="shared" si="78"/>
        <v>Aqua Novio12Siemen Pouwels</v>
      </c>
      <c r="G207">
        <f t="shared" si="79"/>
        <v>2</v>
      </c>
    </row>
    <row r="208" spans="1:7" x14ac:dyDescent="0.3">
      <c r="A208" t="str">
        <f t="shared" si="80"/>
        <v>Aqua Novio</v>
      </c>
      <c r="B208">
        <f>'10'!B22</f>
        <v>13</v>
      </c>
      <c r="C208" t="str">
        <f>HLOOKUP(A208,spelerslijsten!$B$1:$J$22,19,FALSE)</f>
        <v>Mark van der Heijden (leen)</v>
      </c>
      <c r="D208">
        <f>'10'!V22</f>
        <v>0</v>
      </c>
      <c r="F208" t="str">
        <f t="shared" si="78"/>
        <v>Aqua Novio13Mark van der Heijden (leen)</v>
      </c>
      <c r="G208">
        <f t="shared" si="79"/>
        <v>0</v>
      </c>
    </row>
    <row r="209" spans="1:7" x14ac:dyDescent="0.3">
      <c r="A209" t="str">
        <f t="shared" si="80"/>
        <v>Aqua Novio</v>
      </c>
      <c r="B209" t="str">
        <f>'10'!B23</f>
        <v/>
      </c>
      <c r="C209">
        <f>HLOOKUP(A209,spelerslijsten!$B$1:$J$22,21,FALSE)</f>
        <v>0</v>
      </c>
      <c r="D209">
        <f>'10'!V23</f>
        <v>0</v>
      </c>
      <c r="F209" t="str">
        <f t="shared" si="78"/>
        <v>Aqua Novio0</v>
      </c>
      <c r="G209">
        <f t="shared" si="79"/>
        <v>0</v>
      </c>
    </row>
    <row r="210" spans="1:7" x14ac:dyDescent="0.3">
      <c r="F210" t="str">
        <f t="shared" si="78"/>
        <v/>
      </c>
      <c r="G210">
        <f t="shared" si="79"/>
        <v>0</v>
      </c>
    </row>
    <row r="211" spans="1:7" x14ac:dyDescent="0.3">
      <c r="A211" t="str">
        <f>Wedstrijden!I15</f>
        <v>Gesposs Blauw</v>
      </c>
      <c r="B211">
        <f>'10'!B30</f>
        <v>2</v>
      </c>
      <c r="C211" t="str">
        <f>HLOOKUP(A211,spelerslijsten!$B$1:$J$22,3,FALSE)</f>
        <v>Jack Steeghs</v>
      </c>
      <c r="D211">
        <f>'10'!V30</f>
        <v>0</v>
      </c>
      <c r="F211" t="str">
        <f t="shared" si="78"/>
        <v>Gesposs Blauw2Jack Steeghs</v>
      </c>
      <c r="G211">
        <f t="shared" si="79"/>
        <v>0</v>
      </c>
    </row>
    <row r="212" spans="1:7" x14ac:dyDescent="0.3">
      <c r="A212" t="str">
        <f>A211</f>
        <v>Gesposs Blauw</v>
      </c>
      <c r="B212">
        <f>'10'!B31</f>
        <v>3</v>
      </c>
      <c r="C212" t="str">
        <f>HLOOKUP(A212,spelerslijsten!$B$1:$J$22,5,FALSE)</f>
        <v>Niels Venterink</v>
      </c>
      <c r="D212">
        <f>'10'!V31</f>
        <v>0</v>
      </c>
      <c r="F212" t="str">
        <f t="shared" si="78"/>
        <v>Gesposs Blauw3Niels Venterink</v>
      </c>
      <c r="G212">
        <f t="shared" si="79"/>
        <v>0</v>
      </c>
    </row>
    <row r="213" spans="1:7" x14ac:dyDescent="0.3">
      <c r="A213" t="str">
        <f t="shared" ref="A213:A220" si="81">A212</f>
        <v>Gesposs Blauw</v>
      </c>
      <c r="B213">
        <f>'10'!B32</f>
        <v>4</v>
      </c>
      <c r="C213" t="str">
        <f>HLOOKUP(A213,spelerslijsten!$B$1:$J$22,7,FALSE)</f>
        <v>Wendy Kuysters</v>
      </c>
      <c r="D213">
        <f>'10'!V32</f>
        <v>0</v>
      </c>
      <c r="F213" t="str">
        <f t="shared" si="78"/>
        <v>Gesposs Blauw4Wendy Kuysters</v>
      </c>
      <c r="G213">
        <f t="shared" si="79"/>
        <v>0</v>
      </c>
    </row>
    <row r="214" spans="1:7" x14ac:dyDescent="0.3">
      <c r="A214" t="str">
        <f t="shared" si="81"/>
        <v>Gesposs Blauw</v>
      </c>
      <c r="B214">
        <f>'10'!B33</f>
        <v>6</v>
      </c>
      <c r="C214" t="str">
        <f>HLOOKUP(A214,spelerslijsten!$B$1:$J$22,9,FALSE)</f>
        <v>Kristel Henst</v>
      </c>
      <c r="D214">
        <f>'10'!V33</f>
        <v>0</v>
      </c>
      <c r="F214" t="str">
        <f t="shared" si="78"/>
        <v>Gesposs Blauw6Kristel Henst</v>
      </c>
      <c r="G214">
        <f t="shared" si="79"/>
        <v>0</v>
      </c>
    </row>
    <row r="215" spans="1:7" x14ac:dyDescent="0.3">
      <c r="A215" t="str">
        <f t="shared" si="81"/>
        <v>Gesposs Blauw</v>
      </c>
      <c r="B215">
        <f>'10'!B34</f>
        <v>7</v>
      </c>
      <c r="C215" t="str">
        <f>HLOOKUP(A215,spelerslijsten!$B$1:$J$22,11,FALSE)</f>
        <v>Wout Reininga</v>
      </c>
      <c r="D215">
        <f>'10'!V34</f>
        <v>3</v>
      </c>
      <c r="F215" t="str">
        <f t="shared" si="78"/>
        <v>Gesposs Blauw7Wout Reininga</v>
      </c>
      <c r="G215">
        <f t="shared" si="79"/>
        <v>3</v>
      </c>
    </row>
    <row r="216" spans="1:7" x14ac:dyDescent="0.3">
      <c r="A216" t="str">
        <f t="shared" si="81"/>
        <v>Gesposs Blauw</v>
      </c>
      <c r="B216">
        <f>'10'!B35</f>
        <v>8</v>
      </c>
      <c r="C216" t="str">
        <f>HLOOKUP(A216,spelerslijsten!$B$1:$J$22,13,FALSE)</f>
        <v>Romy Hoed-Venterink</v>
      </c>
      <c r="D216">
        <f>'10'!V35</f>
        <v>3</v>
      </c>
      <c r="F216" t="str">
        <f t="shared" si="78"/>
        <v>Gesposs Blauw8Romy Hoed-Venterink</v>
      </c>
      <c r="G216">
        <f t="shared" si="79"/>
        <v>3</v>
      </c>
    </row>
    <row r="217" spans="1:7" x14ac:dyDescent="0.3">
      <c r="A217" t="str">
        <f t="shared" si="81"/>
        <v>Gesposs Blauw</v>
      </c>
      <c r="B217">
        <f>'10'!B36</f>
        <v>9</v>
      </c>
      <c r="C217" t="str">
        <f>HLOOKUP(A217,spelerslijsten!$B$1:$J$22,15,FALSE)</f>
        <v>Marieke van Namen</v>
      </c>
      <c r="D217">
        <f>'10'!V36</f>
        <v>1</v>
      </c>
      <c r="F217" t="str">
        <f t="shared" si="78"/>
        <v>Gesposs Blauw9Marieke van Namen</v>
      </c>
      <c r="G217">
        <f t="shared" si="79"/>
        <v>1</v>
      </c>
    </row>
    <row r="218" spans="1:7" x14ac:dyDescent="0.3">
      <c r="A218" t="str">
        <f t="shared" si="81"/>
        <v>Gesposs Blauw</v>
      </c>
      <c r="B218">
        <f>'10'!B37</f>
        <v>10</v>
      </c>
      <c r="C218" t="str">
        <f>HLOOKUP(A218,spelerslijsten!$B$1:$J$22,17,FALSE)</f>
        <v>Manon Dekkers</v>
      </c>
      <c r="D218">
        <f>'10'!V37</f>
        <v>1</v>
      </c>
      <c r="F218" t="str">
        <f t="shared" si="78"/>
        <v>Gesposs Blauw10Manon Dekkers</v>
      </c>
      <c r="G218">
        <f t="shared" si="79"/>
        <v>1</v>
      </c>
    </row>
    <row r="219" spans="1:7" x14ac:dyDescent="0.3">
      <c r="A219" t="str">
        <f t="shared" si="81"/>
        <v>Gesposs Blauw</v>
      </c>
      <c r="B219">
        <f>'10'!B38</f>
        <v>11</v>
      </c>
      <c r="C219" t="str">
        <f>HLOOKUP(A219,spelerslijsten!$B$1:$J$22,19,FALSE)</f>
        <v>Celine van de Heuvel</v>
      </c>
      <c r="D219">
        <f>'10'!V38</f>
        <v>1</v>
      </c>
      <c r="F219" t="str">
        <f t="shared" si="78"/>
        <v>Gesposs Blauw11Celine van de Heuvel</v>
      </c>
      <c r="G219">
        <f t="shared" si="79"/>
        <v>1</v>
      </c>
    </row>
    <row r="220" spans="1:7" x14ac:dyDescent="0.3">
      <c r="A220" t="str">
        <f t="shared" si="81"/>
        <v>Gesposs Blauw</v>
      </c>
      <c r="B220" t="str">
        <f>'10'!B39</f>
        <v/>
      </c>
      <c r="C220">
        <f>HLOOKUP(A220,spelerslijsten!$B$1:$J$22,21,FALSE)</f>
        <v>0</v>
      </c>
      <c r="D220">
        <f>'10'!V39</f>
        <v>0</v>
      </c>
      <c r="F220" t="str">
        <f t="shared" si="78"/>
        <v>Gesposs Blauw0</v>
      </c>
      <c r="G220">
        <f t="shared" si="79"/>
        <v>0</v>
      </c>
    </row>
    <row r="221" spans="1:7" x14ac:dyDescent="0.3">
      <c r="A221" t="s">
        <v>90</v>
      </c>
      <c r="F221" t="str">
        <f t="shared" si="78"/>
        <v>Wed 11</v>
      </c>
      <c r="G221">
        <f t="shared" si="79"/>
        <v>0</v>
      </c>
    </row>
    <row r="222" spans="1:7" x14ac:dyDescent="0.3">
      <c r="A222" t="str">
        <f>Wedstrijden!E16</f>
        <v>Gesposs Geel</v>
      </c>
      <c r="B222">
        <f>'11'!B14</f>
        <v>2</v>
      </c>
      <c r="C222" t="str">
        <f>HLOOKUP(A222,spelerslijsten!$B$1:$J$22,3,FALSE)</f>
        <v>Jasper van Houtum</v>
      </c>
      <c r="D222">
        <f>'11'!V14</f>
        <v>0</v>
      </c>
      <c r="F222" t="str">
        <f t="shared" si="78"/>
        <v>Gesposs Geel2Jasper van Houtum</v>
      </c>
      <c r="G222">
        <f t="shared" si="79"/>
        <v>0</v>
      </c>
    </row>
    <row r="223" spans="1:7" x14ac:dyDescent="0.3">
      <c r="A223" t="str">
        <f>A222</f>
        <v>Gesposs Geel</v>
      </c>
      <c r="B223">
        <f>'11'!B15</f>
        <v>3</v>
      </c>
      <c r="C223" t="str">
        <f>HLOOKUP(A223,spelerslijsten!$B$1:$J$22,5,FALSE)</f>
        <v>Arjan Dulos</v>
      </c>
      <c r="D223">
        <f>'11'!V15</f>
        <v>0</v>
      </c>
      <c r="F223" t="str">
        <f t="shared" si="78"/>
        <v>Gesposs Geel3Arjan Dulos</v>
      </c>
      <c r="G223">
        <f t="shared" si="79"/>
        <v>0</v>
      </c>
    </row>
    <row r="224" spans="1:7" x14ac:dyDescent="0.3">
      <c r="A224" t="str">
        <f t="shared" ref="A224:A231" si="82">A223</f>
        <v>Gesposs Geel</v>
      </c>
      <c r="B224">
        <f>'11'!B16</f>
        <v>4</v>
      </c>
      <c r="C224" t="str">
        <f>HLOOKUP(A224,spelerslijsten!$B$1:$J$22,7,FALSE)</f>
        <v>Kim Wolf</v>
      </c>
      <c r="D224">
        <f>'11'!V16</f>
        <v>0</v>
      </c>
      <c r="F224" t="str">
        <f t="shared" si="78"/>
        <v>Gesposs Geel4Kim Wolf</v>
      </c>
      <c r="G224">
        <f t="shared" si="79"/>
        <v>0</v>
      </c>
    </row>
    <row r="225" spans="1:7" x14ac:dyDescent="0.3">
      <c r="A225" t="str">
        <f t="shared" si="82"/>
        <v>Gesposs Geel</v>
      </c>
      <c r="B225">
        <f>'11'!B17</f>
        <v>5</v>
      </c>
      <c r="C225" t="str">
        <f>HLOOKUP(A225,spelerslijsten!$B$1:$J$22,9,FALSE)</f>
        <v>Kevin van Boekel</v>
      </c>
      <c r="D225">
        <f>'11'!V17</f>
        <v>0</v>
      </c>
      <c r="F225" t="str">
        <f t="shared" si="78"/>
        <v>Gesposs Geel5Kevin van Boekel</v>
      </c>
      <c r="G225">
        <f t="shared" si="79"/>
        <v>0</v>
      </c>
    </row>
    <row r="226" spans="1:7" x14ac:dyDescent="0.3">
      <c r="A226" t="str">
        <f t="shared" si="82"/>
        <v>Gesposs Geel</v>
      </c>
      <c r="B226">
        <f>'11'!B18</f>
        <v>6</v>
      </c>
      <c r="C226" t="str">
        <f>HLOOKUP(A226,spelerslijsten!$B$1:$J$22,11,FALSE)</f>
        <v>Kevin van Kollenburg</v>
      </c>
      <c r="D226">
        <f>'11'!V18</f>
        <v>0</v>
      </c>
      <c r="F226" t="str">
        <f t="shared" si="78"/>
        <v>Gesposs Geel6Kevin van Kollenburg</v>
      </c>
      <c r="G226">
        <f t="shared" si="79"/>
        <v>0</v>
      </c>
    </row>
    <row r="227" spans="1:7" x14ac:dyDescent="0.3">
      <c r="A227" t="str">
        <f t="shared" si="82"/>
        <v>Gesposs Geel</v>
      </c>
      <c r="B227">
        <f>'11'!B19</f>
        <v>7</v>
      </c>
      <c r="C227" t="str">
        <f>HLOOKUP(A227,spelerslijsten!$B$1:$J$22,13,FALSE)</f>
        <v>Tim van den Akker</v>
      </c>
      <c r="D227">
        <f>'11'!V19</f>
        <v>0</v>
      </c>
      <c r="F227" t="str">
        <f t="shared" si="78"/>
        <v>Gesposs Geel7Tim van den Akker</v>
      </c>
      <c r="G227">
        <f t="shared" si="79"/>
        <v>0</v>
      </c>
    </row>
    <row r="228" spans="1:7" x14ac:dyDescent="0.3">
      <c r="A228" t="str">
        <f t="shared" si="82"/>
        <v>Gesposs Geel</v>
      </c>
      <c r="B228">
        <f>'11'!B20</f>
        <v>8</v>
      </c>
      <c r="C228" t="str">
        <f>HLOOKUP(A228,spelerslijsten!$B$1:$J$22,15,FALSE)</f>
        <v>Marloes Beks-Geurts</v>
      </c>
      <c r="D228">
        <f>'11'!V20</f>
        <v>0</v>
      </c>
      <c r="F228" t="str">
        <f t="shared" si="78"/>
        <v>Gesposs Geel8Marloes Beks-Geurts</v>
      </c>
      <c r="G228">
        <f t="shared" si="79"/>
        <v>0</v>
      </c>
    </row>
    <row r="229" spans="1:7" x14ac:dyDescent="0.3">
      <c r="A229" t="str">
        <f t="shared" si="82"/>
        <v>Gesposs Geel</v>
      </c>
      <c r="B229">
        <f>'11'!B21</f>
        <v>9</v>
      </c>
      <c r="C229" t="str">
        <f>HLOOKUP(A229,spelerslijsten!$B$1:$J$22,17,FALSE)</f>
        <v>Lincy Ruijs</v>
      </c>
      <c r="D229">
        <f>'11'!V21</f>
        <v>0</v>
      </c>
      <c r="F229" t="str">
        <f t="shared" si="78"/>
        <v>Gesposs Geel9Lincy Ruijs</v>
      </c>
      <c r="G229">
        <f t="shared" si="79"/>
        <v>0</v>
      </c>
    </row>
    <row r="230" spans="1:7" x14ac:dyDescent="0.3">
      <c r="A230" t="str">
        <f t="shared" si="82"/>
        <v>Gesposs Geel</v>
      </c>
      <c r="B230">
        <f>'11'!B22</f>
        <v>10</v>
      </c>
      <c r="C230" t="str">
        <f>HLOOKUP(A230,spelerslijsten!$B$1:$J$22,19,FALSE)</f>
        <v>Eef de Ruijter</v>
      </c>
      <c r="D230">
        <f>'11'!V22</f>
        <v>2</v>
      </c>
      <c r="F230" t="str">
        <f t="shared" si="78"/>
        <v>Gesposs Geel10Eef de Ruijter</v>
      </c>
      <c r="G230">
        <f t="shared" si="79"/>
        <v>2</v>
      </c>
    </row>
    <row r="231" spans="1:7" x14ac:dyDescent="0.3">
      <c r="A231" t="str">
        <f t="shared" si="82"/>
        <v>Gesposs Geel</v>
      </c>
      <c r="B231">
        <f>'11'!B23</f>
        <v>11</v>
      </c>
      <c r="C231" t="str">
        <f>HLOOKUP(A231,spelerslijsten!$B$1:$J$22,21,FALSE)</f>
        <v>Finn van der Krift</v>
      </c>
      <c r="D231">
        <f>'11'!V23</f>
        <v>0</v>
      </c>
      <c r="F231" t="str">
        <f t="shared" si="78"/>
        <v>Gesposs Geel11Finn van der Krift</v>
      </c>
      <c r="G231">
        <f t="shared" si="79"/>
        <v>0</v>
      </c>
    </row>
    <row r="232" spans="1:7" x14ac:dyDescent="0.3">
      <c r="F232" t="str">
        <f t="shared" si="78"/>
        <v/>
      </c>
      <c r="G232">
        <f t="shared" si="79"/>
        <v>0</v>
      </c>
    </row>
    <row r="233" spans="1:7" x14ac:dyDescent="0.3">
      <c r="A233" t="str">
        <f>Wedstrijden!I16</f>
        <v>VZ&amp;PC Nautilus 1</v>
      </c>
      <c r="B233">
        <f>'11'!B30</f>
        <v>2</v>
      </c>
      <c r="C233" t="str">
        <f>HLOOKUP(A233,spelerslijsten!$B$1:$J$22,3,FALSE)</f>
        <v>Corne Braken</v>
      </c>
      <c r="D233">
        <f>'11'!V30</f>
        <v>0</v>
      </c>
      <c r="F233" t="str">
        <f t="shared" si="78"/>
        <v>VZ&amp;PC Nautilus 12Corne Braken</v>
      </c>
      <c r="G233">
        <f t="shared" si="79"/>
        <v>0</v>
      </c>
    </row>
    <row r="234" spans="1:7" x14ac:dyDescent="0.3">
      <c r="A234" t="str">
        <f>A233</f>
        <v>VZ&amp;PC Nautilus 1</v>
      </c>
      <c r="B234">
        <f>'11'!B31</f>
        <v>3</v>
      </c>
      <c r="C234" t="str">
        <f>HLOOKUP(A234,spelerslijsten!$B$1:$J$22,5,FALSE)</f>
        <v>Kevin Kanters</v>
      </c>
      <c r="D234">
        <f>'11'!V31</f>
        <v>0</v>
      </c>
      <c r="F234" t="str">
        <f t="shared" si="78"/>
        <v>VZ&amp;PC Nautilus 13Kevin Kanters</v>
      </c>
      <c r="G234">
        <f t="shared" si="79"/>
        <v>0</v>
      </c>
    </row>
    <row r="235" spans="1:7" x14ac:dyDescent="0.3">
      <c r="A235" t="str">
        <f t="shared" ref="A235:A242" si="83">A234</f>
        <v>VZ&amp;PC Nautilus 1</v>
      </c>
      <c r="B235">
        <f>'11'!B32</f>
        <v>4</v>
      </c>
      <c r="C235" t="str">
        <f>HLOOKUP(A235,spelerslijsten!$B$1:$J$22,7,FALSE)</f>
        <v>Monique Schouten</v>
      </c>
      <c r="D235">
        <f>'11'!V32</f>
        <v>0</v>
      </c>
      <c r="F235" t="str">
        <f t="shared" si="78"/>
        <v>VZ&amp;PC Nautilus 14Monique Schouten</v>
      </c>
      <c r="G235">
        <f t="shared" si="79"/>
        <v>0</v>
      </c>
    </row>
    <row r="236" spans="1:7" x14ac:dyDescent="0.3">
      <c r="A236" t="str">
        <f t="shared" si="83"/>
        <v>VZ&amp;PC Nautilus 1</v>
      </c>
      <c r="B236">
        <f>'11'!B33</f>
        <v>5</v>
      </c>
      <c r="C236" t="str">
        <f>HLOOKUP(A236,spelerslijsten!$B$1:$J$22,9,FALSE)</f>
        <v>Miranda van Schaijk</v>
      </c>
      <c r="D236">
        <f>'11'!V33</f>
        <v>0</v>
      </c>
      <c r="F236" t="str">
        <f t="shared" si="78"/>
        <v>VZ&amp;PC Nautilus 15Miranda van Schaijk</v>
      </c>
      <c r="G236">
        <f t="shared" si="79"/>
        <v>0</v>
      </c>
    </row>
    <row r="237" spans="1:7" x14ac:dyDescent="0.3">
      <c r="A237" t="str">
        <f t="shared" si="83"/>
        <v>VZ&amp;PC Nautilus 1</v>
      </c>
      <c r="B237">
        <f>'11'!B34</f>
        <v>6</v>
      </c>
      <c r="C237" t="str">
        <f>HLOOKUP(A237,spelerslijsten!$B$1:$J$22,11,FALSE)</f>
        <v>Jan Zegers</v>
      </c>
      <c r="D237">
        <f>'11'!V34</f>
        <v>1</v>
      </c>
      <c r="F237" t="str">
        <f t="shared" si="78"/>
        <v>VZ&amp;PC Nautilus 16Jan Zegers</v>
      </c>
      <c r="G237">
        <f t="shared" si="79"/>
        <v>1</v>
      </c>
    </row>
    <row r="238" spans="1:7" x14ac:dyDescent="0.3">
      <c r="A238" t="str">
        <f t="shared" si="83"/>
        <v>VZ&amp;PC Nautilus 1</v>
      </c>
      <c r="B238">
        <f>'11'!B35</f>
        <v>9</v>
      </c>
      <c r="C238" t="str">
        <f>HLOOKUP(A238,spelerslijsten!$B$1:$J$22,13,FALSE)</f>
        <v>Christian Gibbels</v>
      </c>
      <c r="D238">
        <f>'11'!V35</f>
        <v>2</v>
      </c>
      <c r="F238" t="str">
        <f t="shared" si="78"/>
        <v>VZ&amp;PC Nautilus 19Christian Gibbels</v>
      </c>
      <c r="G238">
        <f t="shared" si="79"/>
        <v>2</v>
      </c>
    </row>
    <row r="239" spans="1:7" x14ac:dyDescent="0.3">
      <c r="A239" t="str">
        <f t="shared" si="83"/>
        <v>VZ&amp;PC Nautilus 1</v>
      </c>
      <c r="B239">
        <f>'11'!B36</f>
        <v>10</v>
      </c>
      <c r="C239" t="str">
        <f>HLOOKUP(A239,spelerslijsten!$B$1:$J$22,15,FALSE)</f>
        <v>Stefan van der Wielen</v>
      </c>
      <c r="D239">
        <f>'11'!V36</f>
        <v>0</v>
      </c>
      <c r="F239" t="str">
        <f t="shared" si="78"/>
        <v>VZ&amp;PC Nautilus 110Stefan van der Wielen</v>
      </c>
      <c r="G239">
        <f t="shared" si="79"/>
        <v>0</v>
      </c>
    </row>
    <row r="240" spans="1:7" x14ac:dyDescent="0.3">
      <c r="A240" t="str">
        <f t="shared" si="83"/>
        <v>VZ&amp;PC Nautilus 1</v>
      </c>
      <c r="B240" t="str">
        <f>'11'!B37</f>
        <v/>
      </c>
      <c r="C240">
        <f>HLOOKUP(A240,spelerslijsten!$B$1:$J$22,17,FALSE)</f>
        <v>0</v>
      </c>
      <c r="D240">
        <f>'11'!V37</f>
        <v>0</v>
      </c>
      <c r="F240" t="str">
        <f t="shared" si="78"/>
        <v>VZ&amp;PC Nautilus 10</v>
      </c>
      <c r="G240">
        <f t="shared" si="79"/>
        <v>0</v>
      </c>
    </row>
    <row r="241" spans="1:7" x14ac:dyDescent="0.3">
      <c r="A241" t="str">
        <f t="shared" si="83"/>
        <v>VZ&amp;PC Nautilus 1</v>
      </c>
      <c r="B241" t="str">
        <f>'11'!B38</f>
        <v/>
      </c>
      <c r="C241">
        <f>HLOOKUP(A241,spelerslijsten!$B$1:$J$22,19,FALSE)</f>
        <v>0</v>
      </c>
      <c r="D241">
        <f>'11'!V38</f>
        <v>0</v>
      </c>
      <c r="F241" t="str">
        <f t="shared" si="78"/>
        <v>VZ&amp;PC Nautilus 10</v>
      </c>
      <c r="G241">
        <f t="shared" si="79"/>
        <v>0</v>
      </c>
    </row>
    <row r="242" spans="1:7" x14ac:dyDescent="0.3">
      <c r="A242" t="str">
        <f t="shared" si="83"/>
        <v>VZ&amp;PC Nautilus 1</v>
      </c>
      <c r="B242" t="str">
        <f>'11'!B39</f>
        <v/>
      </c>
      <c r="C242">
        <f>HLOOKUP(A242,spelerslijsten!$B$1:$J$22,21,FALSE)</f>
        <v>0</v>
      </c>
      <c r="D242">
        <f>'11'!V39</f>
        <v>0</v>
      </c>
      <c r="F242" t="str">
        <f t="shared" si="78"/>
        <v>VZ&amp;PC Nautilus 10</v>
      </c>
      <c r="G242">
        <f t="shared" si="79"/>
        <v>0</v>
      </c>
    </row>
    <row r="243" spans="1:7" x14ac:dyDescent="0.3">
      <c r="A243" t="s">
        <v>91</v>
      </c>
      <c r="F243" t="str">
        <f t="shared" si="78"/>
        <v>Wed 12</v>
      </c>
      <c r="G243">
        <f t="shared" si="79"/>
        <v>0</v>
      </c>
    </row>
    <row r="244" spans="1:7" x14ac:dyDescent="0.3">
      <c r="A244" t="str">
        <f>Wedstrijden!E17</f>
        <v>SVG Den Bosch</v>
      </c>
      <c r="B244">
        <f>'12'!B14</f>
        <v>3</v>
      </c>
      <c r="C244" t="str">
        <f>HLOOKUP(A244,spelerslijsten!$B$1:$J$22,3,FALSE)</f>
        <v>Bjorn Blom</v>
      </c>
      <c r="D244">
        <f>'12'!V14</f>
        <v>1</v>
      </c>
      <c r="F244" t="str">
        <f t="shared" si="78"/>
        <v>SVG Den Bosch3Bjorn Blom</v>
      </c>
      <c r="G244">
        <f t="shared" si="79"/>
        <v>1</v>
      </c>
    </row>
    <row r="245" spans="1:7" x14ac:dyDescent="0.3">
      <c r="A245" t="str">
        <f>A244</f>
        <v>SVG Den Bosch</v>
      </c>
      <c r="B245">
        <f>'12'!B15</f>
        <v>4</v>
      </c>
      <c r="C245" t="str">
        <f>HLOOKUP(A245,spelerslijsten!$B$1:$J$22,5,FALSE)</f>
        <v>Wesley van Eldijk</v>
      </c>
      <c r="D245">
        <f>'12'!V15</f>
        <v>5</v>
      </c>
      <c r="F245" t="str">
        <f t="shared" si="78"/>
        <v>SVG Den Bosch4Wesley van Eldijk</v>
      </c>
      <c r="G245">
        <f t="shared" si="79"/>
        <v>5</v>
      </c>
    </row>
    <row r="246" spans="1:7" x14ac:dyDescent="0.3">
      <c r="A246" t="str">
        <f t="shared" ref="A246:A253" si="84">A245</f>
        <v>SVG Den Bosch</v>
      </c>
      <c r="B246">
        <f>'12'!B16</f>
        <v>5</v>
      </c>
      <c r="C246" t="str">
        <f>HLOOKUP(A246,spelerslijsten!$B$1:$J$22,7,FALSE)</f>
        <v>Jurriaan Rijnaars</v>
      </c>
      <c r="D246">
        <f>'12'!V16</f>
        <v>0</v>
      </c>
      <c r="F246" t="str">
        <f t="shared" si="78"/>
        <v>SVG Den Bosch5Jurriaan Rijnaars</v>
      </c>
      <c r="G246">
        <f t="shared" si="79"/>
        <v>0</v>
      </c>
    </row>
    <row r="247" spans="1:7" x14ac:dyDescent="0.3">
      <c r="A247" t="str">
        <f t="shared" si="84"/>
        <v>SVG Den Bosch</v>
      </c>
      <c r="B247">
        <f>'12'!B17</f>
        <v>6</v>
      </c>
      <c r="C247" t="str">
        <f>HLOOKUP(A247,spelerslijsten!$B$1:$J$22,9,FALSE)</f>
        <v>Lucas van Osch</v>
      </c>
      <c r="D247">
        <f>'12'!V17</f>
        <v>0</v>
      </c>
      <c r="F247" t="str">
        <f t="shared" si="78"/>
        <v>SVG Den Bosch6Lucas van Osch</v>
      </c>
      <c r="G247">
        <f t="shared" si="79"/>
        <v>0</v>
      </c>
    </row>
    <row r="248" spans="1:7" x14ac:dyDescent="0.3">
      <c r="A248" t="str">
        <f t="shared" si="84"/>
        <v>SVG Den Bosch</v>
      </c>
      <c r="B248">
        <f>'12'!B18</f>
        <v>7</v>
      </c>
      <c r="C248" t="str">
        <f>HLOOKUP(A248,spelerslijsten!$B$1:$J$22,11,FALSE)</f>
        <v>Helmi van Hirtum</v>
      </c>
      <c r="D248">
        <f>'12'!V18</f>
        <v>0</v>
      </c>
      <c r="F248" t="str">
        <f t="shared" si="78"/>
        <v>SVG Den Bosch7Helmi van Hirtum</v>
      </c>
      <c r="G248">
        <f t="shared" si="79"/>
        <v>0</v>
      </c>
    </row>
    <row r="249" spans="1:7" x14ac:dyDescent="0.3">
      <c r="A249" t="str">
        <f t="shared" si="84"/>
        <v>SVG Den Bosch</v>
      </c>
      <c r="B249">
        <f>'12'!B19</f>
        <v>8</v>
      </c>
      <c r="C249" t="str">
        <f>HLOOKUP(A249,spelerslijsten!$B$1:$J$22,13,FALSE)</f>
        <v>Sara van Grinsven</v>
      </c>
      <c r="D249">
        <f>'12'!V19</f>
        <v>0</v>
      </c>
      <c r="F249" t="str">
        <f t="shared" si="78"/>
        <v>SVG Den Bosch8Sara van Grinsven</v>
      </c>
      <c r="G249">
        <f t="shared" si="79"/>
        <v>0</v>
      </c>
    </row>
    <row r="250" spans="1:7" x14ac:dyDescent="0.3">
      <c r="A250" t="str">
        <f t="shared" si="84"/>
        <v>SVG Den Bosch</v>
      </c>
      <c r="B250">
        <f>'12'!B20</f>
        <v>9</v>
      </c>
      <c r="C250" t="str">
        <f>HLOOKUP(A250,spelerslijsten!$B$1:$J$22,15,FALSE)</f>
        <v>Robby van Gruythuysen</v>
      </c>
      <c r="D250">
        <f>'12'!V20</f>
        <v>1</v>
      </c>
      <c r="F250" t="str">
        <f t="shared" si="78"/>
        <v>SVG Den Bosch9Robby van Gruythuysen</v>
      </c>
      <c r="G250">
        <f t="shared" si="79"/>
        <v>1</v>
      </c>
    </row>
    <row r="251" spans="1:7" x14ac:dyDescent="0.3">
      <c r="A251" t="str">
        <f t="shared" si="84"/>
        <v>SVG Den Bosch</v>
      </c>
      <c r="B251">
        <f>'12'!B21</f>
        <v>10</v>
      </c>
      <c r="C251" t="str">
        <f>HLOOKUP(A251,spelerslijsten!$B$1:$J$22,17,FALSE)</f>
        <v>Peter Schwering</v>
      </c>
      <c r="D251">
        <f>'12'!V21</f>
        <v>0</v>
      </c>
      <c r="F251" t="str">
        <f t="shared" si="78"/>
        <v>SVG Den Bosch10Peter Schwering</v>
      </c>
      <c r="G251">
        <f t="shared" si="79"/>
        <v>0</v>
      </c>
    </row>
    <row r="252" spans="1:7" x14ac:dyDescent="0.3">
      <c r="A252" t="str">
        <f t="shared" si="84"/>
        <v>SVG Den Bosch</v>
      </c>
      <c r="B252">
        <f>'12'!B22</f>
        <v>11</v>
      </c>
      <c r="C252" t="str">
        <f>HLOOKUP(A252,spelerslijsten!$B$1:$J$22,19,FALSE)</f>
        <v>Stefan Hermens</v>
      </c>
      <c r="D252">
        <f>'12'!V22</f>
        <v>0</v>
      </c>
      <c r="F252" t="str">
        <f t="shared" si="78"/>
        <v>SVG Den Bosch11Stefan Hermens</v>
      </c>
      <c r="G252">
        <f t="shared" si="79"/>
        <v>0</v>
      </c>
    </row>
    <row r="253" spans="1:7" x14ac:dyDescent="0.3">
      <c r="A253" t="str">
        <f t="shared" si="84"/>
        <v>SVG Den Bosch</v>
      </c>
      <c r="B253" t="str">
        <f>'12'!B23</f>
        <v/>
      </c>
      <c r="C253">
        <f>HLOOKUP(A253,spelerslijsten!$B$1:$J$22,21,FALSE)</f>
        <v>0</v>
      </c>
      <c r="D253">
        <f>'12'!V23</f>
        <v>0</v>
      </c>
      <c r="F253" t="str">
        <f t="shared" si="78"/>
        <v>SVG Den Bosch0</v>
      </c>
      <c r="G253">
        <f t="shared" si="79"/>
        <v>0</v>
      </c>
    </row>
    <row r="254" spans="1:7" x14ac:dyDescent="0.3">
      <c r="F254" t="str">
        <f t="shared" si="78"/>
        <v/>
      </c>
      <c r="G254">
        <f t="shared" si="79"/>
        <v>0</v>
      </c>
    </row>
    <row r="255" spans="1:7" x14ac:dyDescent="0.3">
      <c r="A255" t="str">
        <f>Wedstrijden!I17</f>
        <v>VZ&amp;PC Nautilus 2</v>
      </c>
      <c r="B255">
        <f>'12'!B30</f>
        <v>2</v>
      </c>
      <c r="C255" t="str">
        <f>HLOOKUP(A255,spelerslijsten!$B$1:$J$22,3,FALSE)</f>
        <v>Willy van Grunsven</v>
      </c>
      <c r="D255">
        <f>'12'!V30</f>
        <v>0</v>
      </c>
      <c r="F255" t="str">
        <f t="shared" si="78"/>
        <v>VZ&amp;PC Nautilus 22Willy van Grunsven</v>
      </c>
      <c r="G255">
        <f t="shared" si="79"/>
        <v>0</v>
      </c>
    </row>
    <row r="256" spans="1:7" x14ac:dyDescent="0.3">
      <c r="A256" t="str">
        <f>A255</f>
        <v>VZ&amp;PC Nautilus 2</v>
      </c>
      <c r="B256">
        <f>'12'!B31</f>
        <v>3</v>
      </c>
      <c r="C256" t="str">
        <f>HLOOKUP(A256,spelerslijsten!$B$1:$J$22,5,FALSE)</f>
        <v>Manuel Bastiaans</v>
      </c>
      <c r="D256">
        <f>'12'!V31</f>
        <v>0</v>
      </c>
      <c r="F256" t="str">
        <f t="shared" si="78"/>
        <v>VZ&amp;PC Nautilus 23Manuel Bastiaans</v>
      </c>
      <c r="G256">
        <f t="shared" si="79"/>
        <v>0</v>
      </c>
    </row>
    <row r="257" spans="1:7" x14ac:dyDescent="0.3">
      <c r="A257" t="str">
        <f t="shared" ref="A257:A264" si="85">A256</f>
        <v>VZ&amp;PC Nautilus 2</v>
      </c>
      <c r="B257">
        <f>'12'!B32</f>
        <v>4</v>
      </c>
      <c r="C257" t="str">
        <f>HLOOKUP(A257,spelerslijsten!$B$1:$J$22,7,FALSE)</f>
        <v>Marga Schouten</v>
      </c>
      <c r="D257">
        <f>'12'!V32</f>
        <v>1</v>
      </c>
      <c r="F257" t="str">
        <f t="shared" si="78"/>
        <v>VZ&amp;PC Nautilus 24Marga Schouten</v>
      </c>
      <c r="G257">
        <f t="shared" si="79"/>
        <v>1</v>
      </c>
    </row>
    <row r="258" spans="1:7" x14ac:dyDescent="0.3">
      <c r="A258" t="str">
        <f t="shared" si="85"/>
        <v>VZ&amp;PC Nautilus 2</v>
      </c>
      <c r="B258">
        <f>'12'!B33</f>
        <v>6</v>
      </c>
      <c r="C258" t="str">
        <f>HLOOKUP(A258,spelerslijsten!$B$1:$J$22,9,FALSE)</f>
        <v>Anja Braken</v>
      </c>
      <c r="D258">
        <f>'12'!V33</f>
        <v>0</v>
      </c>
      <c r="F258" t="str">
        <f t="shared" si="78"/>
        <v>VZ&amp;PC Nautilus 26Anja Braken</v>
      </c>
      <c r="G258">
        <f t="shared" si="79"/>
        <v>0</v>
      </c>
    </row>
    <row r="259" spans="1:7" x14ac:dyDescent="0.3">
      <c r="A259" t="str">
        <f t="shared" si="85"/>
        <v>VZ&amp;PC Nautilus 2</v>
      </c>
      <c r="B259">
        <f>'12'!B34</f>
        <v>7</v>
      </c>
      <c r="C259" t="str">
        <f>HLOOKUP(A259,spelerslijsten!$B$1:$J$22,11,FALSE)</f>
        <v>Mieke van Gerwen</v>
      </c>
      <c r="D259">
        <f>'12'!V34</f>
        <v>0</v>
      </c>
      <c r="F259" t="str">
        <f t="shared" ref="F259:F322" si="86">CONCATENATE(A259&amp;B259&amp;C259)</f>
        <v>VZ&amp;PC Nautilus 27Mieke van Gerwen</v>
      </c>
      <c r="G259">
        <f t="shared" ref="G259:G322" si="87">D259</f>
        <v>0</v>
      </c>
    </row>
    <row r="260" spans="1:7" x14ac:dyDescent="0.3">
      <c r="A260" t="str">
        <f t="shared" si="85"/>
        <v>VZ&amp;PC Nautilus 2</v>
      </c>
      <c r="B260">
        <f>'12'!B35</f>
        <v>8</v>
      </c>
      <c r="C260" t="str">
        <f>HLOOKUP(A260,spelerslijsten!$B$1:$J$22,13,FALSE)</f>
        <v>Susan van Wanrooy</v>
      </c>
      <c r="D260">
        <f>'12'!V35</f>
        <v>0</v>
      </c>
      <c r="F260" t="str">
        <f t="shared" si="86"/>
        <v>VZ&amp;PC Nautilus 28Susan van Wanrooy</v>
      </c>
      <c r="G260">
        <f t="shared" si="87"/>
        <v>0</v>
      </c>
    </row>
    <row r="261" spans="1:7" x14ac:dyDescent="0.3">
      <c r="A261" t="str">
        <f t="shared" si="85"/>
        <v>VZ&amp;PC Nautilus 2</v>
      </c>
      <c r="B261">
        <f>'12'!B36</f>
        <v>10</v>
      </c>
      <c r="C261" t="str">
        <f>HLOOKUP(A261,spelerslijsten!$B$1:$J$22,15,FALSE)</f>
        <v>Jeffrey Danen</v>
      </c>
      <c r="D261">
        <f>'12'!V36</f>
        <v>2</v>
      </c>
      <c r="F261" t="str">
        <f t="shared" si="86"/>
        <v>VZ&amp;PC Nautilus 210Jeffrey Danen</v>
      </c>
      <c r="G261">
        <f t="shared" si="87"/>
        <v>2</v>
      </c>
    </row>
    <row r="262" spans="1:7" x14ac:dyDescent="0.3">
      <c r="A262" t="str">
        <f t="shared" si="85"/>
        <v>VZ&amp;PC Nautilus 2</v>
      </c>
      <c r="B262" t="str">
        <f>'12'!B37</f>
        <v/>
      </c>
      <c r="C262">
        <f>HLOOKUP(A262,spelerslijsten!$B$1:$J$22,17,FALSE)</f>
        <v>0</v>
      </c>
      <c r="D262">
        <f>'12'!V37</f>
        <v>0</v>
      </c>
      <c r="F262" t="str">
        <f t="shared" si="86"/>
        <v>VZ&amp;PC Nautilus 20</v>
      </c>
      <c r="G262">
        <f t="shared" si="87"/>
        <v>0</v>
      </c>
    </row>
    <row r="263" spans="1:7" x14ac:dyDescent="0.3">
      <c r="A263" t="str">
        <f t="shared" si="85"/>
        <v>VZ&amp;PC Nautilus 2</v>
      </c>
      <c r="B263" t="str">
        <f>'12'!B38</f>
        <v/>
      </c>
      <c r="C263">
        <f>HLOOKUP(A263,spelerslijsten!$B$1:$J$22,19,FALSE)</f>
        <v>0</v>
      </c>
      <c r="D263">
        <f>'12'!V38</f>
        <v>0</v>
      </c>
      <c r="F263" t="str">
        <f t="shared" si="86"/>
        <v>VZ&amp;PC Nautilus 20</v>
      </c>
      <c r="G263">
        <f t="shared" si="87"/>
        <v>0</v>
      </c>
    </row>
    <row r="264" spans="1:7" x14ac:dyDescent="0.3">
      <c r="A264" t="str">
        <f t="shared" si="85"/>
        <v>VZ&amp;PC Nautilus 2</v>
      </c>
      <c r="B264" t="str">
        <f>'12'!B39</f>
        <v/>
      </c>
      <c r="C264">
        <f>HLOOKUP(A264,spelerslijsten!$B$1:$J$22,21,FALSE)</f>
        <v>0</v>
      </c>
      <c r="D264">
        <f>'12'!V39</f>
        <v>0</v>
      </c>
      <c r="F264" t="str">
        <f t="shared" si="86"/>
        <v>VZ&amp;PC Nautilus 20</v>
      </c>
      <c r="G264">
        <f t="shared" si="87"/>
        <v>0</v>
      </c>
    </row>
    <row r="265" spans="1:7" x14ac:dyDescent="0.3">
      <c r="A265" t="s">
        <v>92</v>
      </c>
      <c r="F265" t="str">
        <f t="shared" si="86"/>
        <v>Wed 13</v>
      </c>
      <c r="G265">
        <f t="shared" si="87"/>
        <v>0</v>
      </c>
    </row>
    <row r="266" spans="1:7" x14ac:dyDescent="0.3">
      <c r="A266" t="str">
        <f>Wedstrijden!E18</f>
        <v>De Tubanten 1</v>
      </c>
      <c r="B266">
        <f>'13'!B14</f>
        <v>2</v>
      </c>
      <c r="C266" t="str">
        <f>HLOOKUP(A266,spelerslijsten!$B$1:$J$22,3,FALSE)</f>
        <v>Sean Williams</v>
      </c>
      <c r="D266">
        <f>'13'!V14</f>
        <v>0</v>
      </c>
      <c r="F266" t="str">
        <f t="shared" si="86"/>
        <v>De Tubanten 12Sean Williams</v>
      </c>
      <c r="G266">
        <f t="shared" si="87"/>
        <v>0</v>
      </c>
    </row>
    <row r="267" spans="1:7" x14ac:dyDescent="0.3">
      <c r="A267" t="str">
        <f>A266</f>
        <v>De Tubanten 1</v>
      </c>
      <c r="B267">
        <f>'13'!B15</f>
        <v>3</v>
      </c>
      <c r="C267" t="str">
        <f>HLOOKUP(A267,spelerslijsten!$B$1:$J$22,5,FALSE)</f>
        <v>Liam Williams</v>
      </c>
      <c r="D267">
        <f>'13'!V15</f>
        <v>1</v>
      </c>
      <c r="F267" t="str">
        <f t="shared" si="86"/>
        <v>De Tubanten 13Liam Williams</v>
      </c>
      <c r="G267">
        <f t="shared" si="87"/>
        <v>1</v>
      </c>
    </row>
    <row r="268" spans="1:7" x14ac:dyDescent="0.3">
      <c r="A268" t="str">
        <f t="shared" ref="A268:A275" si="88">A267</f>
        <v>De Tubanten 1</v>
      </c>
      <c r="B268">
        <f>'13'!B16</f>
        <v>4</v>
      </c>
      <c r="C268" t="str">
        <f>HLOOKUP(A268,spelerslijsten!$B$1:$J$22,7,FALSE)</f>
        <v>Andre Buitink</v>
      </c>
      <c r="D268">
        <f>'13'!V16</f>
        <v>0</v>
      </c>
      <c r="F268" t="str">
        <f t="shared" si="86"/>
        <v>De Tubanten 14Andre Buitink</v>
      </c>
      <c r="G268">
        <f t="shared" si="87"/>
        <v>0</v>
      </c>
    </row>
    <row r="269" spans="1:7" x14ac:dyDescent="0.3">
      <c r="A269" t="str">
        <f t="shared" si="88"/>
        <v>De Tubanten 1</v>
      </c>
      <c r="B269">
        <f>'13'!B17</f>
        <v>5</v>
      </c>
      <c r="C269" t="str">
        <f>HLOOKUP(A269,spelerslijsten!$B$1:$J$22,9,FALSE)</f>
        <v>Marco Ensink</v>
      </c>
      <c r="D269">
        <f>'13'!V17</f>
        <v>0</v>
      </c>
      <c r="F269" t="str">
        <f t="shared" si="86"/>
        <v>De Tubanten 15Marco Ensink</v>
      </c>
      <c r="G269">
        <f t="shared" si="87"/>
        <v>0</v>
      </c>
    </row>
    <row r="270" spans="1:7" x14ac:dyDescent="0.3">
      <c r="A270" t="str">
        <f t="shared" si="88"/>
        <v>De Tubanten 1</v>
      </c>
      <c r="B270">
        <f>'13'!B18</f>
        <v>6</v>
      </c>
      <c r="C270" t="str">
        <f>HLOOKUP(A270,spelerslijsten!$B$1:$J$22,11,FALSE)</f>
        <v>Precilla Beune</v>
      </c>
      <c r="D270">
        <f>'13'!V18</f>
        <v>2</v>
      </c>
      <c r="F270" t="str">
        <f t="shared" si="86"/>
        <v>De Tubanten 16Precilla Beune</v>
      </c>
      <c r="G270">
        <f t="shared" si="87"/>
        <v>2</v>
      </c>
    </row>
    <row r="271" spans="1:7" x14ac:dyDescent="0.3">
      <c r="A271" t="str">
        <f t="shared" si="88"/>
        <v>De Tubanten 1</v>
      </c>
      <c r="B271">
        <f>'13'!B19</f>
        <v>7</v>
      </c>
      <c r="C271" t="str">
        <f>HLOOKUP(A271,spelerslijsten!$B$1:$J$22,13,FALSE)</f>
        <v>Timo Hazelhoff</v>
      </c>
      <c r="D271">
        <f>'13'!V19</f>
        <v>3</v>
      </c>
      <c r="F271" t="str">
        <f t="shared" si="86"/>
        <v>De Tubanten 17Timo Hazelhoff</v>
      </c>
      <c r="G271">
        <f t="shared" si="87"/>
        <v>3</v>
      </c>
    </row>
    <row r="272" spans="1:7" x14ac:dyDescent="0.3">
      <c r="A272" t="str">
        <f t="shared" si="88"/>
        <v>De Tubanten 1</v>
      </c>
      <c r="B272">
        <f>'13'!B20</f>
        <v>8</v>
      </c>
      <c r="C272" t="str">
        <f>HLOOKUP(A272,spelerslijsten!$B$1:$J$22,15,FALSE)</f>
        <v>Mike Regtop</v>
      </c>
      <c r="D272">
        <f>'13'!V20</f>
        <v>5</v>
      </c>
      <c r="F272" t="str">
        <f t="shared" si="86"/>
        <v>De Tubanten 18Mike Regtop</v>
      </c>
      <c r="G272">
        <f t="shared" si="87"/>
        <v>5</v>
      </c>
    </row>
    <row r="273" spans="1:7" x14ac:dyDescent="0.3">
      <c r="A273" t="str">
        <f t="shared" si="88"/>
        <v>De Tubanten 1</v>
      </c>
      <c r="B273" t="str">
        <f>'13'!B21</f>
        <v/>
      </c>
      <c r="C273">
        <f>HLOOKUP(A273,spelerslijsten!$B$1:$J$22,17,FALSE)</f>
        <v>0</v>
      </c>
      <c r="D273">
        <f>'13'!V21</f>
        <v>0</v>
      </c>
      <c r="F273" t="str">
        <f t="shared" si="86"/>
        <v>De Tubanten 10</v>
      </c>
      <c r="G273">
        <f t="shared" si="87"/>
        <v>0</v>
      </c>
    </row>
    <row r="274" spans="1:7" x14ac:dyDescent="0.3">
      <c r="A274" t="str">
        <f t="shared" si="88"/>
        <v>De Tubanten 1</v>
      </c>
      <c r="B274" t="str">
        <f>'13'!B22</f>
        <v/>
      </c>
      <c r="C274">
        <f>HLOOKUP(A274,spelerslijsten!$B$1:$J$22,19,FALSE)</f>
        <v>0</v>
      </c>
      <c r="D274">
        <f>'13'!V22</f>
        <v>0</v>
      </c>
      <c r="F274" t="str">
        <f t="shared" si="86"/>
        <v>De Tubanten 10</v>
      </c>
      <c r="G274">
        <f t="shared" si="87"/>
        <v>0</v>
      </c>
    </row>
    <row r="275" spans="1:7" x14ac:dyDescent="0.3">
      <c r="A275" t="str">
        <f t="shared" si="88"/>
        <v>De Tubanten 1</v>
      </c>
      <c r="B275" t="str">
        <f>'13'!B23</f>
        <v/>
      </c>
      <c r="C275">
        <f>HLOOKUP(A275,spelerslijsten!$B$1:$J$22,21,FALSE)</f>
        <v>0</v>
      </c>
      <c r="D275">
        <f>'13'!V23</f>
        <v>0</v>
      </c>
      <c r="F275" t="str">
        <f t="shared" si="86"/>
        <v>De Tubanten 10</v>
      </c>
      <c r="G275">
        <f t="shared" si="87"/>
        <v>0</v>
      </c>
    </row>
    <row r="276" spans="1:7" x14ac:dyDescent="0.3">
      <c r="F276" t="str">
        <f t="shared" si="86"/>
        <v/>
      </c>
      <c r="G276">
        <f t="shared" si="87"/>
        <v>0</v>
      </c>
    </row>
    <row r="277" spans="1:7" x14ac:dyDescent="0.3">
      <c r="A277" t="str">
        <f>Wedstrijden!I18</f>
        <v>RZ Roermond</v>
      </c>
      <c r="B277">
        <f>'13'!B30</f>
        <v>3</v>
      </c>
      <c r="C277" t="str">
        <f>HLOOKUP(A277,spelerslijsten!$B$1:$J$22,3,FALSE)</f>
        <v>Helga Addink</v>
      </c>
      <c r="D277">
        <f>'13'!V30</f>
        <v>0</v>
      </c>
      <c r="F277" t="str">
        <f t="shared" si="86"/>
        <v>RZ Roermond3Helga Addink</v>
      </c>
      <c r="G277">
        <f t="shared" si="87"/>
        <v>0</v>
      </c>
    </row>
    <row r="278" spans="1:7" x14ac:dyDescent="0.3">
      <c r="A278" t="str">
        <f>A277</f>
        <v>RZ Roermond</v>
      </c>
      <c r="B278">
        <f>'13'!B31</f>
        <v>4</v>
      </c>
      <c r="C278" t="str">
        <f>HLOOKUP(A278,spelerslijsten!$B$1:$J$22,5,FALSE)</f>
        <v>Werner Dudek</v>
      </c>
      <c r="D278">
        <f>'13'!V31</f>
        <v>0</v>
      </c>
      <c r="F278" t="str">
        <f t="shared" si="86"/>
        <v>RZ Roermond4Werner Dudek</v>
      </c>
      <c r="G278">
        <f t="shared" si="87"/>
        <v>0</v>
      </c>
    </row>
    <row r="279" spans="1:7" x14ac:dyDescent="0.3">
      <c r="A279" t="str">
        <f t="shared" ref="A279:A286" si="89">A278</f>
        <v>RZ Roermond</v>
      </c>
      <c r="B279">
        <f>'13'!B32</f>
        <v>5</v>
      </c>
      <c r="C279" t="str">
        <f>HLOOKUP(A279,spelerslijsten!$B$1:$J$22,7,FALSE)</f>
        <v>Luc Mulder</v>
      </c>
      <c r="D279">
        <f>'13'!V32</f>
        <v>0</v>
      </c>
      <c r="F279" t="str">
        <f t="shared" si="86"/>
        <v>RZ Roermond5Luc Mulder</v>
      </c>
      <c r="G279">
        <f t="shared" si="87"/>
        <v>0</v>
      </c>
    </row>
    <row r="280" spans="1:7" x14ac:dyDescent="0.3">
      <c r="A280" t="str">
        <f t="shared" si="89"/>
        <v>RZ Roermond</v>
      </c>
      <c r="B280">
        <f>'13'!B33</f>
        <v>7</v>
      </c>
      <c r="C280" t="str">
        <f>HLOOKUP(A280,spelerslijsten!$B$1:$J$22,9,FALSE)</f>
        <v>Ties Bouten</v>
      </c>
      <c r="D280">
        <f>'13'!V33</f>
        <v>0</v>
      </c>
      <c r="F280" t="str">
        <f t="shared" si="86"/>
        <v>RZ Roermond7Ties Bouten</v>
      </c>
      <c r="G280">
        <f t="shared" si="87"/>
        <v>0</v>
      </c>
    </row>
    <row r="281" spans="1:7" x14ac:dyDescent="0.3">
      <c r="A281" t="str">
        <f t="shared" si="89"/>
        <v>RZ Roermond</v>
      </c>
      <c r="B281">
        <f>'13'!B34</f>
        <v>9</v>
      </c>
      <c r="C281" t="str">
        <f>HLOOKUP(A281,spelerslijsten!$B$1:$J$22,11,FALSE)</f>
        <v>Wilma van Helden</v>
      </c>
      <c r="D281">
        <f>'13'!V34</f>
        <v>7</v>
      </c>
      <c r="F281" t="str">
        <f t="shared" si="86"/>
        <v>RZ Roermond9Wilma van Helden</v>
      </c>
      <c r="G281">
        <f t="shared" si="87"/>
        <v>7</v>
      </c>
    </row>
    <row r="282" spans="1:7" x14ac:dyDescent="0.3">
      <c r="A282" t="str">
        <f t="shared" si="89"/>
        <v>RZ Roermond</v>
      </c>
      <c r="B282">
        <f>'13'!B35</f>
        <v>11</v>
      </c>
      <c r="C282" t="str">
        <f>HLOOKUP(A282,spelerslijsten!$B$1:$J$22,13,FALSE)</f>
        <v>Sonja Bouten</v>
      </c>
      <c r="D282">
        <f>'13'!V35</f>
        <v>0</v>
      </c>
      <c r="F282" t="str">
        <f t="shared" si="86"/>
        <v>RZ Roermond11Sonja Bouten</v>
      </c>
      <c r="G282">
        <f t="shared" si="87"/>
        <v>0</v>
      </c>
    </row>
    <row r="283" spans="1:7" x14ac:dyDescent="0.3">
      <c r="A283" t="str">
        <f t="shared" si="89"/>
        <v>RZ Roermond</v>
      </c>
      <c r="B283">
        <f>'13'!B36</f>
        <v>12</v>
      </c>
      <c r="C283" t="str">
        <f>HLOOKUP(A283,spelerslijsten!$B$1:$J$22,15,FALSE)</f>
        <v>Hans Reijnders (leen)</v>
      </c>
      <c r="D283">
        <f>'13'!V36</f>
        <v>0</v>
      </c>
      <c r="F283" t="str">
        <f t="shared" si="86"/>
        <v>RZ Roermond12Hans Reijnders (leen)</v>
      </c>
      <c r="G283">
        <f t="shared" si="87"/>
        <v>0</v>
      </c>
    </row>
    <row r="284" spans="1:7" x14ac:dyDescent="0.3">
      <c r="A284" t="str">
        <f t="shared" si="89"/>
        <v>RZ Roermond</v>
      </c>
      <c r="B284" t="str">
        <f>'13'!B37</f>
        <v/>
      </c>
      <c r="C284">
        <f>HLOOKUP(A284,spelerslijsten!$B$1:$J$22,17,FALSE)</f>
        <v>0</v>
      </c>
      <c r="D284">
        <f>'13'!V37</f>
        <v>0</v>
      </c>
      <c r="F284" t="str">
        <f t="shared" si="86"/>
        <v>RZ Roermond0</v>
      </c>
      <c r="G284">
        <f t="shared" si="87"/>
        <v>0</v>
      </c>
    </row>
    <row r="285" spans="1:7" x14ac:dyDescent="0.3">
      <c r="A285" t="str">
        <f t="shared" si="89"/>
        <v>RZ Roermond</v>
      </c>
      <c r="B285" t="str">
        <f>'13'!B38</f>
        <v/>
      </c>
      <c r="C285">
        <f>HLOOKUP(A285,spelerslijsten!$B$1:$J$22,19,FALSE)</f>
        <v>0</v>
      </c>
      <c r="D285">
        <f>'13'!V38</f>
        <v>0</v>
      </c>
      <c r="F285" t="str">
        <f t="shared" si="86"/>
        <v>RZ Roermond0</v>
      </c>
      <c r="G285">
        <f t="shared" si="87"/>
        <v>0</v>
      </c>
    </row>
    <row r="286" spans="1:7" x14ac:dyDescent="0.3">
      <c r="A286" t="str">
        <f t="shared" si="89"/>
        <v>RZ Roermond</v>
      </c>
      <c r="B286" t="str">
        <f>'13'!B39</f>
        <v/>
      </c>
      <c r="C286">
        <f>HLOOKUP(A286,spelerslijsten!$B$1:$J$22,21,FALSE)</f>
        <v>0</v>
      </c>
      <c r="D286">
        <f>'13'!V39</f>
        <v>0</v>
      </c>
      <c r="F286" t="str">
        <f t="shared" si="86"/>
        <v>RZ Roermond0</v>
      </c>
      <c r="G286">
        <f t="shared" si="87"/>
        <v>0</v>
      </c>
    </row>
    <row r="287" spans="1:7" x14ac:dyDescent="0.3">
      <c r="A287" t="s">
        <v>93</v>
      </c>
      <c r="F287" t="str">
        <f t="shared" si="86"/>
        <v>Wed 14</v>
      </c>
      <c r="G287">
        <f t="shared" si="87"/>
        <v>0</v>
      </c>
    </row>
    <row r="288" spans="1:7" x14ac:dyDescent="0.3">
      <c r="A288" t="str">
        <f>Wedstrijden!E19</f>
        <v>De Tubanten 2</v>
      </c>
      <c r="B288">
        <f>'14'!B14</f>
        <v>2</v>
      </c>
      <c r="C288" t="str">
        <f>HLOOKUP(A288,spelerslijsten!$B$1:$J$22,3,FALSE)</f>
        <v>Yevgeni Petrov</v>
      </c>
      <c r="D288">
        <f>'14'!V14</f>
        <v>0</v>
      </c>
      <c r="F288" t="str">
        <f t="shared" si="86"/>
        <v>De Tubanten 22Yevgeni Petrov</v>
      </c>
      <c r="G288">
        <f t="shared" si="87"/>
        <v>0</v>
      </c>
    </row>
    <row r="289" spans="1:7" x14ac:dyDescent="0.3">
      <c r="A289" t="str">
        <f>A288</f>
        <v>De Tubanten 2</v>
      </c>
      <c r="B289">
        <f>'14'!B15</f>
        <v>3</v>
      </c>
      <c r="C289" t="str">
        <f>HLOOKUP(A289,spelerslijsten!$B$1:$J$22,5,FALSE)</f>
        <v>Monique Bijker</v>
      </c>
      <c r="D289">
        <f>'14'!V15</f>
        <v>0</v>
      </c>
      <c r="F289" t="str">
        <f t="shared" si="86"/>
        <v>De Tubanten 23Monique Bijker</v>
      </c>
      <c r="G289">
        <f t="shared" si="87"/>
        <v>0</v>
      </c>
    </row>
    <row r="290" spans="1:7" x14ac:dyDescent="0.3">
      <c r="A290" t="str">
        <f t="shared" ref="A290:A297" si="90">A289</f>
        <v>De Tubanten 2</v>
      </c>
      <c r="B290">
        <f>'14'!B16</f>
        <v>4</v>
      </c>
      <c r="C290" t="str">
        <f>HLOOKUP(A290,spelerslijsten!$B$1:$J$22,7,FALSE)</f>
        <v>Leon Bijker</v>
      </c>
      <c r="D290">
        <f>'14'!V16</f>
        <v>0</v>
      </c>
      <c r="F290" t="str">
        <f t="shared" si="86"/>
        <v>De Tubanten 24Leon Bijker</v>
      </c>
      <c r="G290">
        <f t="shared" si="87"/>
        <v>0</v>
      </c>
    </row>
    <row r="291" spans="1:7" x14ac:dyDescent="0.3">
      <c r="A291" t="str">
        <f t="shared" si="90"/>
        <v>De Tubanten 2</v>
      </c>
      <c r="B291">
        <f>'14'!B17</f>
        <v>5</v>
      </c>
      <c r="C291" t="str">
        <f>HLOOKUP(A291,spelerslijsten!$B$1:$J$22,9,FALSE)</f>
        <v>Noah Hazelhoff</v>
      </c>
      <c r="D291">
        <f>'14'!V17</f>
        <v>1</v>
      </c>
      <c r="F291" t="str">
        <f t="shared" si="86"/>
        <v>De Tubanten 25Noah Hazelhoff</v>
      </c>
      <c r="G291">
        <f t="shared" si="87"/>
        <v>1</v>
      </c>
    </row>
    <row r="292" spans="1:7" x14ac:dyDescent="0.3">
      <c r="A292" t="str">
        <f t="shared" si="90"/>
        <v>De Tubanten 2</v>
      </c>
      <c r="B292">
        <f>'14'!B18</f>
        <v>6</v>
      </c>
      <c r="C292" t="str">
        <f>HLOOKUP(A292,spelerslijsten!$B$1:$J$22,11,FALSE)</f>
        <v>Joran van Achteren</v>
      </c>
      <c r="D292">
        <f>'14'!V18</f>
        <v>0</v>
      </c>
      <c r="F292" t="str">
        <f t="shared" si="86"/>
        <v>De Tubanten 26Joran van Achteren</v>
      </c>
      <c r="G292">
        <f t="shared" si="87"/>
        <v>0</v>
      </c>
    </row>
    <row r="293" spans="1:7" x14ac:dyDescent="0.3">
      <c r="A293" t="str">
        <f t="shared" si="90"/>
        <v>De Tubanten 2</v>
      </c>
      <c r="B293">
        <f>'14'!B19</f>
        <v>7</v>
      </c>
      <c r="C293" t="str">
        <f>HLOOKUP(A293,spelerslijsten!$B$1:$J$22,13,FALSE)</f>
        <v>Maiker Arends</v>
      </c>
      <c r="D293">
        <f>'14'!V19</f>
        <v>0</v>
      </c>
      <c r="F293" t="str">
        <f t="shared" si="86"/>
        <v>De Tubanten 27Maiker Arends</v>
      </c>
      <c r="G293">
        <f t="shared" si="87"/>
        <v>0</v>
      </c>
    </row>
    <row r="294" spans="1:7" x14ac:dyDescent="0.3">
      <c r="A294" t="str">
        <f t="shared" si="90"/>
        <v>De Tubanten 2</v>
      </c>
      <c r="B294">
        <f>'14'!B20</f>
        <v>9</v>
      </c>
      <c r="C294" t="str">
        <f>HLOOKUP(A294,spelerslijsten!$B$1:$J$22,15,FALSE)</f>
        <v>Wouter van Schip</v>
      </c>
      <c r="D294">
        <f>'14'!V20</f>
        <v>0</v>
      </c>
      <c r="F294" t="str">
        <f t="shared" si="86"/>
        <v>De Tubanten 29Wouter van Schip</v>
      </c>
      <c r="G294">
        <f t="shared" si="87"/>
        <v>0</v>
      </c>
    </row>
    <row r="295" spans="1:7" x14ac:dyDescent="0.3">
      <c r="A295" t="str">
        <f t="shared" si="90"/>
        <v>De Tubanten 2</v>
      </c>
      <c r="B295">
        <f>'14'!B21</f>
        <v>10</v>
      </c>
      <c r="C295" t="str">
        <f>HLOOKUP(A295,spelerslijsten!$B$1:$J$22,17,FALSE)</f>
        <v>Bianca Verbeek</v>
      </c>
      <c r="D295">
        <f>'14'!V21</f>
        <v>1</v>
      </c>
      <c r="F295" t="str">
        <f t="shared" si="86"/>
        <v>De Tubanten 210Bianca Verbeek</v>
      </c>
      <c r="G295">
        <f t="shared" si="87"/>
        <v>1</v>
      </c>
    </row>
    <row r="296" spans="1:7" x14ac:dyDescent="0.3">
      <c r="A296" t="str">
        <f t="shared" si="90"/>
        <v>De Tubanten 2</v>
      </c>
      <c r="B296" t="str">
        <f>'14'!B22</f>
        <v/>
      </c>
      <c r="C296">
        <f>HLOOKUP(A296,spelerslijsten!$B$1:$J$22,19,FALSE)</f>
        <v>0</v>
      </c>
      <c r="D296">
        <f>'14'!V22</f>
        <v>0</v>
      </c>
      <c r="F296" t="str">
        <f t="shared" si="86"/>
        <v>De Tubanten 20</v>
      </c>
      <c r="G296">
        <f t="shared" si="87"/>
        <v>0</v>
      </c>
    </row>
    <row r="297" spans="1:7" x14ac:dyDescent="0.3">
      <c r="A297" t="str">
        <f t="shared" si="90"/>
        <v>De Tubanten 2</v>
      </c>
      <c r="B297" t="str">
        <f>'14'!B23</f>
        <v/>
      </c>
      <c r="C297">
        <f>HLOOKUP(A297,spelerslijsten!$B$1:$J$22,21,FALSE)</f>
        <v>0</v>
      </c>
      <c r="D297">
        <f>'14'!V23</f>
        <v>0</v>
      </c>
      <c r="F297" t="str">
        <f t="shared" si="86"/>
        <v>De Tubanten 20</v>
      </c>
      <c r="G297">
        <f t="shared" si="87"/>
        <v>0</v>
      </c>
    </row>
    <row r="298" spans="1:7" x14ac:dyDescent="0.3">
      <c r="F298" t="str">
        <f t="shared" si="86"/>
        <v/>
      </c>
      <c r="G298">
        <f t="shared" si="87"/>
        <v>0</v>
      </c>
    </row>
    <row r="299" spans="1:7" x14ac:dyDescent="0.3">
      <c r="A299" t="str">
        <f>Wedstrijden!I19</f>
        <v>Gesposs Blauw</v>
      </c>
      <c r="B299">
        <f>'14'!B30</f>
        <v>2</v>
      </c>
      <c r="C299" t="str">
        <f>HLOOKUP(A299,spelerslijsten!$B$1:$J$22,3,FALSE)</f>
        <v>Jack Steeghs</v>
      </c>
      <c r="D299">
        <f>'14'!V30</f>
        <v>0</v>
      </c>
      <c r="F299" t="str">
        <f t="shared" si="86"/>
        <v>Gesposs Blauw2Jack Steeghs</v>
      </c>
      <c r="G299">
        <f t="shared" si="87"/>
        <v>0</v>
      </c>
    </row>
    <row r="300" spans="1:7" x14ac:dyDescent="0.3">
      <c r="A300" t="str">
        <f>A299</f>
        <v>Gesposs Blauw</v>
      </c>
      <c r="B300">
        <f>'14'!B31</f>
        <v>3</v>
      </c>
      <c r="C300" t="str">
        <f>HLOOKUP(A300,spelerslijsten!$B$1:$J$22,5,FALSE)</f>
        <v>Niels Venterink</v>
      </c>
      <c r="D300">
        <f>'14'!V31</f>
        <v>0</v>
      </c>
      <c r="F300" t="str">
        <f t="shared" si="86"/>
        <v>Gesposs Blauw3Niels Venterink</v>
      </c>
      <c r="G300">
        <f t="shared" si="87"/>
        <v>0</v>
      </c>
    </row>
    <row r="301" spans="1:7" x14ac:dyDescent="0.3">
      <c r="A301" t="str">
        <f t="shared" ref="A301:A308" si="91">A300</f>
        <v>Gesposs Blauw</v>
      </c>
      <c r="B301">
        <f>'14'!B32</f>
        <v>4</v>
      </c>
      <c r="C301" t="str">
        <f>HLOOKUP(A301,spelerslijsten!$B$1:$J$22,7,FALSE)</f>
        <v>Wendy Kuysters</v>
      </c>
      <c r="D301">
        <f>'14'!V32</f>
        <v>0</v>
      </c>
      <c r="F301" t="str">
        <f t="shared" si="86"/>
        <v>Gesposs Blauw4Wendy Kuysters</v>
      </c>
      <c r="G301">
        <f t="shared" si="87"/>
        <v>0</v>
      </c>
    </row>
    <row r="302" spans="1:7" x14ac:dyDescent="0.3">
      <c r="A302" t="str">
        <f t="shared" si="91"/>
        <v>Gesposs Blauw</v>
      </c>
      <c r="B302">
        <f>'14'!B33</f>
        <v>6</v>
      </c>
      <c r="C302" t="str">
        <f>HLOOKUP(A302,spelerslijsten!$B$1:$J$22,9,FALSE)</f>
        <v>Kristel Henst</v>
      </c>
      <c r="D302">
        <f>'14'!V33</f>
        <v>0</v>
      </c>
      <c r="F302" t="str">
        <f t="shared" si="86"/>
        <v>Gesposs Blauw6Kristel Henst</v>
      </c>
      <c r="G302">
        <f t="shared" si="87"/>
        <v>0</v>
      </c>
    </row>
    <row r="303" spans="1:7" x14ac:dyDescent="0.3">
      <c r="A303" t="str">
        <f t="shared" si="91"/>
        <v>Gesposs Blauw</v>
      </c>
      <c r="B303">
        <f>'14'!B34</f>
        <v>7</v>
      </c>
      <c r="C303" t="str">
        <f>HLOOKUP(A303,spelerslijsten!$B$1:$J$22,11,FALSE)</f>
        <v>Wout Reininga</v>
      </c>
      <c r="D303">
        <f>'14'!V34</f>
        <v>0</v>
      </c>
      <c r="F303" t="str">
        <f t="shared" si="86"/>
        <v>Gesposs Blauw7Wout Reininga</v>
      </c>
      <c r="G303">
        <f t="shared" si="87"/>
        <v>0</v>
      </c>
    </row>
    <row r="304" spans="1:7" x14ac:dyDescent="0.3">
      <c r="A304" t="str">
        <f t="shared" si="91"/>
        <v>Gesposs Blauw</v>
      </c>
      <c r="B304">
        <f>'14'!B35</f>
        <v>8</v>
      </c>
      <c r="C304" t="str">
        <f>HLOOKUP(A304,spelerslijsten!$B$1:$J$22,13,FALSE)</f>
        <v>Romy Hoed-Venterink</v>
      </c>
      <c r="D304">
        <f>'14'!V35</f>
        <v>3</v>
      </c>
      <c r="F304" t="str">
        <f t="shared" si="86"/>
        <v>Gesposs Blauw8Romy Hoed-Venterink</v>
      </c>
      <c r="G304">
        <f t="shared" si="87"/>
        <v>3</v>
      </c>
    </row>
    <row r="305" spans="1:7" x14ac:dyDescent="0.3">
      <c r="A305" t="str">
        <f t="shared" si="91"/>
        <v>Gesposs Blauw</v>
      </c>
      <c r="B305">
        <f>'14'!B36</f>
        <v>9</v>
      </c>
      <c r="C305" t="str">
        <f>HLOOKUP(A305,spelerslijsten!$B$1:$J$22,15,FALSE)</f>
        <v>Marieke van Namen</v>
      </c>
      <c r="D305">
        <f>'14'!V36</f>
        <v>0</v>
      </c>
      <c r="F305" t="str">
        <f t="shared" si="86"/>
        <v>Gesposs Blauw9Marieke van Namen</v>
      </c>
      <c r="G305">
        <f t="shared" si="87"/>
        <v>0</v>
      </c>
    </row>
    <row r="306" spans="1:7" x14ac:dyDescent="0.3">
      <c r="A306" t="str">
        <f t="shared" si="91"/>
        <v>Gesposs Blauw</v>
      </c>
      <c r="B306">
        <f>'14'!B37</f>
        <v>10</v>
      </c>
      <c r="C306" t="str">
        <f>HLOOKUP(A306,spelerslijsten!$B$1:$J$22,17,FALSE)</f>
        <v>Manon Dekkers</v>
      </c>
      <c r="D306">
        <f>'14'!V37</f>
        <v>3</v>
      </c>
      <c r="F306" t="str">
        <f t="shared" si="86"/>
        <v>Gesposs Blauw10Manon Dekkers</v>
      </c>
      <c r="G306">
        <f t="shared" si="87"/>
        <v>3</v>
      </c>
    </row>
    <row r="307" spans="1:7" x14ac:dyDescent="0.3">
      <c r="A307" t="str">
        <f t="shared" si="91"/>
        <v>Gesposs Blauw</v>
      </c>
      <c r="B307">
        <f>'14'!B38</f>
        <v>11</v>
      </c>
      <c r="C307" t="str">
        <f>HLOOKUP(A307,spelerslijsten!$B$1:$J$22,19,FALSE)</f>
        <v>Celine van de Heuvel</v>
      </c>
      <c r="D307">
        <f>'14'!V38</f>
        <v>1</v>
      </c>
      <c r="F307" t="str">
        <f t="shared" si="86"/>
        <v>Gesposs Blauw11Celine van de Heuvel</v>
      </c>
      <c r="G307">
        <f t="shared" si="87"/>
        <v>1</v>
      </c>
    </row>
    <row r="308" spans="1:7" x14ac:dyDescent="0.3">
      <c r="A308" t="str">
        <f t="shared" si="91"/>
        <v>Gesposs Blauw</v>
      </c>
      <c r="B308" t="str">
        <f>'14'!B39</f>
        <v/>
      </c>
      <c r="C308">
        <f>HLOOKUP(A308,spelerslijsten!$B$1:$J$22,21,FALSE)</f>
        <v>0</v>
      </c>
      <c r="D308">
        <f>'14'!V39</f>
        <v>0</v>
      </c>
      <c r="F308" t="str">
        <f t="shared" si="86"/>
        <v>Gesposs Blauw0</v>
      </c>
      <c r="G308">
        <f t="shared" si="87"/>
        <v>0</v>
      </c>
    </row>
    <row r="309" spans="1:7" x14ac:dyDescent="0.3">
      <c r="A309" t="s">
        <v>94</v>
      </c>
      <c r="F309" t="str">
        <f t="shared" si="86"/>
        <v>Wed 15</v>
      </c>
      <c r="G309">
        <f t="shared" si="87"/>
        <v>0</v>
      </c>
    </row>
    <row r="310" spans="1:7" x14ac:dyDescent="0.3">
      <c r="A310" t="str">
        <f>Wedstrijden!E20</f>
        <v>Aqua Novio</v>
      </c>
      <c r="B310">
        <f>'15'!B14</f>
        <v>2</v>
      </c>
      <c r="C310" t="str">
        <f>HLOOKUP(A310,spelerslijsten!$B$1:$J$22,3,FALSE)</f>
        <v>Jop van Weel</v>
      </c>
      <c r="D310">
        <f>'15'!V14</f>
        <v>0</v>
      </c>
      <c r="F310" t="str">
        <f t="shared" si="86"/>
        <v>Aqua Novio2Jop van Weel</v>
      </c>
      <c r="G310">
        <f t="shared" si="87"/>
        <v>0</v>
      </c>
    </row>
    <row r="311" spans="1:7" x14ac:dyDescent="0.3">
      <c r="A311" t="str">
        <f>A310</f>
        <v>Aqua Novio</v>
      </c>
      <c r="B311">
        <f>'15'!B15</f>
        <v>3</v>
      </c>
      <c r="C311" t="str">
        <f>HLOOKUP(A311,spelerslijsten!$B$1:$J$22,5,FALSE)</f>
        <v>Collin Bijnen</v>
      </c>
      <c r="D311">
        <f>'15'!V15</f>
        <v>0</v>
      </c>
      <c r="F311" t="str">
        <f t="shared" si="86"/>
        <v>Aqua Novio3Collin Bijnen</v>
      </c>
      <c r="G311">
        <f t="shared" si="87"/>
        <v>0</v>
      </c>
    </row>
    <row r="312" spans="1:7" x14ac:dyDescent="0.3">
      <c r="A312" t="str">
        <f t="shared" ref="A312:A319" si="92">A311</f>
        <v>Aqua Novio</v>
      </c>
      <c r="B312">
        <f>'15'!B16</f>
        <v>4</v>
      </c>
      <c r="C312" t="str">
        <f>HLOOKUP(A312,spelerslijsten!$B$1:$J$22,7,FALSE)</f>
        <v>Lorenz Gerritz</v>
      </c>
      <c r="D312">
        <f>'15'!V16</f>
        <v>0</v>
      </c>
      <c r="F312" t="str">
        <f t="shared" si="86"/>
        <v>Aqua Novio4Lorenz Gerritz</v>
      </c>
      <c r="G312">
        <f t="shared" si="87"/>
        <v>0</v>
      </c>
    </row>
    <row r="313" spans="1:7" x14ac:dyDescent="0.3">
      <c r="A313" t="str">
        <f t="shared" si="92"/>
        <v>Aqua Novio</v>
      </c>
      <c r="B313">
        <f>'15'!B17</f>
        <v>5</v>
      </c>
      <c r="C313" t="str">
        <f>HLOOKUP(A313,spelerslijsten!$B$1:$J$22,9,FALSE)</f>
        <v>Maritz</v>
      </c>
      <c r="D313">
        <f>'15'!V17</f>
        <v>1</v>
      </c>
      <c r="F313" t="str">
        <f t="shared" si="86"/>
        <v>Aqua Novio5Maritz</v>
      </c>
      <c r="G313">
        <f t="shared" si="87"/>
        <v>1</v>
      </c>
    </row>
    <row r="314" spans="1:7" x14ac:dyDescent="0.3">
      <c r="A314" t="str">
        <f t="shared" si="92"/>
        <v>Aqua Novio</v>
      </c>
      <c r="B314">
        <f>'15'!B18</f>
        <v>7</v>
      </c>
      <c r="C314" t="str">
        <f>HLOOKUP(A314,spelerslijsten!$B$1:$J$22,11,FALSE)</f>
        <v>Doan Tran Thi Tuc</v>
      </c>
      <c r="D314">
        <f>'15'!V18</f>
        <v>0</v>
      </c>
      <c r="F314" t="str">
        <f t="shared" si="86"/>
        <v>Aqua Novio7Doan Tran Thi Tuc</v>
      </c>
      <c r="G314">
        <f t="shared" si="87"/>
        <v>0</v>
      </c>
    </row>
    <row r="315" spans="1:7" x14ac:dyDescent="0.3">
      <c r="A315" t="str">
        <f t="shared" si="92"/>
        <v>Aqua Novio</v>
      </c>
      <c r="B315">
        <f>'15'!B19</f>
        <v>8</v>
      </c>
      <c r="C315" t="str">
        <f>HLOOKUP(A315,spelerslijsten!$B$1:$J$22,13,FALSE)</f>
        <v>Lisa</v>
      </c>
      <c r="D315">
        <f>'15'!V19</f>
        <v>0</v>
      </c>
      <c r="F315" t="str">
        <f t="shared" si="86"/>
        <v>Aqua Novio8Lisa</v>
      </c>
      <c r="G315">
        <f t="shared" si="87"/>
        <v>0</v>
      </c>
    </row>
    <row r="316" spans="1:7" x14ac:dyDescent="0.3">
      <c r="A316" t="str">
        <f t="shared" si="92"/>
        <v>Aqua Novio</v>
      </c>
      <c r="B316">
        <f>'15'!B20</f>
        <v>9</v>
      </c>
      <c r="C316" t="str">
        <f>HLOOKUP(A316,spelerslijsten!$B$1:$J$22,15,FALSE)</f>
        <v>Mo</v>
      </c>
      <c r="D316">
        <f>'15'!V20</f>
        <v>0</v>
      </c>
      <c r="F316" t="str">
        <f t="shared" si="86"/>
        <v>Aqua Novio9Mo</v>
      </c>
      <c r="G316">
        <f t="shared" si="87"/>
        <v>0</v>
      </c>
    </row>
    <row r="317" spans="1:7" x14ac:dyDescent="0.3">
      <c r="A317" t="str">
        <f t="shared" si="92"/>
        <v>Aqua Novio</v>
      </c>
      <c r="B317">
        <f>'15'!B21</f>
        <v>12</v>
      </c>
      <c r="C317" t="str">
        <f>HLOOKUP(A317,spelerslijsten!$B$1:$J$22,17,FALSE)</f>
        <v>Siemen Pouwels</v>
      </c>
      <c r="D317">
        <f>'15'!V21</f>
        <v>1</v>
      </c>
      <c r="F317" t="str">
        <f t="shared" si="86"/>
        <v>Aqua Novio12Siemen Pouwels</v>
      </c>
      <c r="G317">
        <f t="shared" si="87"/>
        <v>1</v>
      </c>
    </row>
    <row r="318" spans="1:7" x14ac:dyDescent="0.3">
      <c r="A318" t="str">
        <f t="shared" si="92"/>
        <v>Aqua Novio</v>
      </c>
      <c r="B318">
        <f>'15'!B22</f>
        <v>13</v>
      </c>
      <c r="C318" t="str">
        <f>HLOOKUP(A318,spelerslijsten!$B$1:$J$22,19,FALSE)</f>
        <v>Mark van der Heijden (leen)</v>
      </c>
      <c r="D318">
        <f>'15'!V22</f>
        <v>0</v>
      </c>
      <c r="F318" t="str">
        <f t="shared" si="86"/>
        <v>Aqua Novio13Mark van der Heijden (leen)</v>
      </c>
      <c r="G318">
        <f t="shared" si="87"/>
        <v>0</v>
      </c>
    </row>
    <row r="319" spans="1:7" x14ac:dyDescent="0.3">
      <c r="A319" t="str">
        <f t="shared" si="92"/>
        <v>Aqua Novio</v>
      </c>
      <c r="B319" t="str">
        <f>'15'!B23</f>
        <v/>
      </c>
      <c r="C319">
        <f>HLOOKUP(A319,spelerslijsten!$B$1:$J$22,21,FALSE)</f>
        <v>0</v>
      </c>
      <c r="D319">
        <f>'15'!V23</f>
        <v>0</v>
      </c>
      <c r="F319" t="str">
        <f t="shared" si="86"/>
        <v>Aqua Novio0</v>
      </c>
      <c r="G319">
        <f t="shared" si="87"/>
        <v>0</v>
      </c>
    </row>
    <row r="320" spans="1:7" x14ac:dyDescent="0.3">
      <c r="F320" t="str">
        <f t="shared" si="86"/>
        <v/>
      </c>
      <c r="G320">
        <f t="shared" si="87"/>
        <v>0</v>
      </c>
    </row>
    <row r="321" spans="1:7" x14ac:dyDescent="0.3">
      <c r="A321" t="str">
        <f>Wedstrijden!I20</f>
        <v>Gesposs Geel</v>
      </c>
      <c r="B321">
        <f>'15'!B30</f>
        <v>2</v>
      </c>
      <c r="C321" t="str">
        <f>HLOOKUP(A321,spelerslijsten!$B$1:$J$22,3,FALSE)</f>
        <v>Jasper van Houtum</v>
      </c>
      <c r="D321">
        <f>'15'!V30</f>
        <v>1</v>
      </c>
      <c r="F321" t="str">
        <f t="shared" si="86"/>
        <v>Gesposs Geel2Jasper van Houtum</v>
      </c>
      <c r="G321">
        <f t="shared" si="87"/>
        <v>1</v>
      </c>
    </row>
    <row r="322" spans="1:7" x14ac:dyDescent="0.3">
      <c r="A322" t="str">
        <f>A321</f>
        <v>Gesposs Geel</v>
      </c>
      <c r="B322">
        <f>'15'!B31</f>
        <v>3</v>
      </c>
      <c r="C322" t="str">
        <f>HLOOKUP(A322,spelerslijsten!$B$1:$J$22,5,FALSE)</f>
        <v>Arjan Dulos</v>
      </c>
      <c r="D322">
        <f>'15'!V31</f>
        <v>1</v>
      </c>
      <c r="F322" t="str">
        <f t="shared" si="86"/>
        <v>Gesposs Geel3Arjan Dulos</v>
      </c>
      <c r="G322">
        <f t="shared" si="87"/>
        <v>1</v>
      </c>
    </row>
    <row r="323" spans="1:7" x14ac:dyDescent="0.3">
      <c r="A323" t="str">
        <f t="shared" ref="A323:A330" si="93">A322</f>
        <v>Gesposs Geel</v>
      </c>
      <c r="B323">
        <f>'15'!B32</f>
        <v>4</v>
      </c>
      <c r="C323" t="str">
        <f>HLOOKUP(A323,spelerslijsten!$B$1:$J$22,7,FALSE)</f>
        <v>Kim Wolf</v>
      </c>
      <c r="D323">
        <f>'15'!V32</f>
        <v>0</v>
      </c>
      <c r="F323" t="str">
        <f t="shared" ref="F323:F330" si="94">CONCATENATE(A323&amp;B323&amp;C323)</f>
        <v>Gesposs Geel4Kim Wolf</v>
      </c>
      <c r="G323">
        <f t="shared" ref="G323:G330" si="95">D323</f>
        <v>0</v>
      </c>
    </row>
    <row r="324" spans="1:7" x14ac:dyDescent="0.3">
      <c r="A324" t="str">
        <f t="shared" si="93"/>
        <v>Gesposs Geel</v>
      </c>
      <c r="B324">
        <f>'15'!B33</f>
        <v>5</v>
      </c>
      <c r="C324" t="str">
        <f>HLOOKUP(A324,spelerslijsten!$B$1:$J$22,9,FALSE)</f>
        <v>Kevin van Boekel</v>
      </c>
      <c r="D324">
        <f>'15'!V33</f>
        <v>0</v>
      </c>
      <c r="F324" t="str">
        <f t="shared" si="94"/>
        <v>Gesposs Geel5Kevin van Boekel</v>
      </c>
      <c r="G324">
        <f t="shared" si="95"/>
        <v>0</v>
      </c>
    </row>
    <row r="325" spans="1:7" x14ac:dyDescent="0.3">
      <c r="A325" t="str">
        <f t="shared" si="93"/>
        <v>Gesposs Geel</v>
      </c>
      <c r="B325">
        <f>'15'!B34</f>
        <v>6</v>
      </c>
      <c r="C325" t="str">
        <f>HLOOKUP(A325,spelerslijsten!$B$1:$J$22,11,FALSE)</f>
        <v>Kevin van Kollenburg</v>
      </c>
      <c r="D325">
        <f>'15'!V34</f>
        <v>0</v>
      </c>
      <c r="F325" t="str">
        <f t="shared" si="94"/>
        <v>Gesposs Geel6Kevin van Kollenburg</v>
      </c>
      <c r="G325">
        <f t="shared" si="95"/>
        <v>0</v>
      </c>
    </row>
    <row r="326" spans="1:7" x14ac:dyDescent="0.3">
      <c r="A326" t="str">
        <f t="shared" si="93"/>
        <v>Gesposs Geel</v>
      </c>
      <c r="B326">
        <f>'15'!B35</f>
        <v>7</v>
      </c>
      <c r="C326" t="str">
        <f>HLOOKUP(A326,spelerslijsten!$B$1:$J$22,13,FALSE)</f>
        <v>Tim van den Akker</v>
      </c>
      <c r="D326">
        <f>'15'!V35</f>
        <v>3</v>
      </c>
      <c r="F326" t="str">
        <f t="shared" si="94"/>
        <v>Gesposs Geel7Tim van den Akker</v>
      </c>
      <c r="G326">
        <f t="shared" si="95"/>
        <v>3</v>
      </c>
    </row>
    <row r="327" spans="1:7" x14ac:dyDescent="0.3">
      <c r="A327" t="str">
        <f t="shared" si="93"/>
        <v>Gesposs Geel</v>
      </c>
      <c r="B327">
        <f>'15'!B36</f>
        <v>8</v>
      </c>
      <c r="C327" t="str">
        <f>HLOOKUP(A327,spelerslijsten!$B$1:$J$22,15,FALSE)</f>
        <v>Marloes Beks-Geurts</v>
      </c>
      <c r="D327">
        <f>'15'!V36</f>
        <v>0</v>
      </c>
      <c r="F327" t="str">
        <f t="shared" si="94"/>
        <v>Gesposs Geel8Marloes Beks-Geurts</v>
      </c>
      <c r="G327">
        <f t="shared" si="95"/>
        <v>0</v>
      </c>
    </row>
    <row r="328" spans="1:7" x14ac:dyDescent="0.3">
      <c r="A328" t="str">
        <f t="shared" si="93"/>
        <v>Gesposs Geel</v>
      </c>
      <c r="B328">
        <f>'15'!B37</f>
        <v>9</v>
      </c>
      <c r="C328" t="str">
        <f>HLOOKUP(A328,spelerslijsten!$B$1:$J$22,17,FALSE)</f>
        <v>Lincy Ruijs</v>
      </c>
      <c r="D328">
        <f>'15'!V37</f>
        <v>0</v>
      </c>
      <c r="F328" t="str">
        <f t="shared" si="94"/>
        <v>Gesposs Geel9Lincy Ruijs</v>
      </c>
      <c r="G328">
        <f t="shared" si="95"/>
        <v>0</v>
      </c>
    </row>
    <row r="329" spans="1:7" x14ac:dyDescent="0.3">
      <c r="A329" t="str">
        <f t="shared" si="93"/>
        <v>Gesposs Geel</v>
      </c>
      <c r="B329">
        <f>'15'!B38</f>
        <v>10</v>
      </c>
      <c r="C329" t="str">
        <f>HLOOKUP(A329,spelerslijsten!$B$1:$J$22,19,FALSE)</f>
        <v>Eef de Ruijter</v>
      </c>
      <c r="D329">
        <f>'15'!V38</f>
        <v>2</v>
      </c>
      <c r="F329" t="str">
        <f t="shared" si="94"/>
        <v>Gesposs Geel10Eef de Ruijter</v>
      </c>
      <c r="G329">
        <f t="shared" si="95"/>
        <v>2</v>
      </c>
    </row>
    <row r="330" spans="1:7" x14ac:dyDescent="0.3">
      <c r="A330" t="str">
        <f t="shared" si="93"/>
        <v>Gesposs Geel</v>
      </c>
      <c r="B330">
        <f>'15'!B39</f>
        <v>11</v>
      </c>
      <c r="C330" t="str">
        <f>HLOOKUP(A330,spelerslijsten!$B$1:$J$22,21,FALSE)</f>
        <v>Finn van der Krift</v>
      </c>
      <c r="D330">
        <f>'15'!V39</f>
        <v>0</v>
      </c>
      <c r="F330" t="str">
        <f t="shared" si="94"/>
        <v>Gesposs Geel11Finn van der Krift</v>
      </c>
      <c r="G330">
        <f t="shared" si="95"/>
        <v>0</v>
      </c>
    </row>
    <row r="331" spans="1:7" x14ac:dyDescent="0.3">
      <c r="A331" t="s">
        <v>169</v>
      </c>
      <c r="F331" t="str">
        <f t="shared" ref="F331:F394" si="96">CONCATENATE(A331&amp;B331&amp;C331)</f>
        <v>Wed16</v>
      </c>
      <c r="G331">
        <f t="shared" ref="G331:G394" si="97">D331</f>
        <v>0</v>
      </c>
    </row>
    <row r="332" spans="1:7" x14ac:dyDescent="0.3">
      <c r="A332" t="str">
        <f>Wedstrijden!E21</f>
        <v>SVG Den Bosch</v>
      </c>
      <c r="B332">
        <f>'16'!B14</f>
        <v>3</v>
      </c>
      <c r="C332" t="str">
        <f>HLOOKUP(A332,spelerslijsten!$B$1:$J$22,3,FALSE)</f>
        <v>Bjorn Blom</v>
      </c>
      <c r="D332">
        <f>'16'!V14</f>
        <v>0</v>
      </c>
      <c r="F332" t="str">
        <f t="shared" si="96"/>
        <v>SVG Den Bosch3Bjorn Blom</v>
      </c>
      <c r="G332">
        <f t="shared" si="97"/>
        <v>0</v>
      </c>
    </row>
    <row r="333" spans="1:7" x14ac:dyDescent="0.3">
      <c r="A333" t="str">
        <f>A332</f>
        <v>SVG Den Bosch</v>
      </c>
      <c r="B333">
        <f>'16'!B15</f>
        <v>4</v>
      </c>
      <c r="C333" t="str">
        <f>HLOOKUP(A333,spelerslijsten!$B$1:$J$22,5,FALSE)</f>
        <v>Wesley van Eldijk</v>
      </c>
      <c r="D333">
        <f>'16'!V15</f>
        <v>3</v>
      </c>
      <c r="F333" t="str">
        <f t="shared" si="96"/>
        <v>SVG Den Bosch4Wesley van Eldijk</v>
      </c>
      <c r="G333">
        <f t="shared" si="97"/>
        <v>3</v>
      </c>
    </row>
    <row r="334" spans="1:7" x14ac:dyDescent="0.3">
      <c r="A334" t="str">
        <f t="shared" ref="A334:A341" si="98">A333</f>
        <v>SVG Den Bosch</v>
      </c>
      <c r="B334">
        <f>'16'!B16</f>
        <v>5</v>
      </c>
      <c r="C334" t="str">
        <f>HLOOKUP(A334,spelerslijsten!$B$1:$J$22,7,FALSE)</f>
        <v>Jurriaan Rijnaars</v>
      </c>
      <c r="D334">
        <f>'16'!V16</f>
        <v>1</v>
      </c>
      <c r="F334" t="str">
        <f t="shared" si="96"/>
        <v>SVG Den Bosch5Jurriaan Rijnaars</v>
      </c>
      <c r="G334">
        <f t="shared" si="97"/>
        <v>1</v>
      </c>
    </row>
    <row r="335" spans="1:7" x14ac:dyDescent="0.3">
      <c r="A335" t="str">
        <f t="shared" si="98"/>
        <v>SVG Den Bosch</v>
      </c>
      <c r="B335">
        <f>'16'!B17</f>
        <v>6</v>
      </c>
      <c r="C335" t="str">
        <f>HLOOKUP(A335,spelerslijsten!$B$1:$J$22,9,FALSE)</f>
        <v>Lucas van Osch</v>
      </c>
      <c r="D335">
        <f>'16'!V17</f>
        <v>0</v>
      </c>
      <c r="F335" t="str">
        <f t="shared" si="96"/>
        <v>SVG Den Bosch6Lucas van Osch</v>
      </c>
      <c r="G335">
        <f t="shared" si="97"/>
        <v>0</v>
      </c>
    </row>
    <row r="336" spans="1:7" x14ac:dyDescent="0.3">
      <c r="A336" t="str">
        <f t="shared" si="98"/>
        <v>SVG Den Bosch</v>
      </c>
      <c r="B336">
        <f>'16'!B18</f>
        <v>7</v>
      </c>
      <c r="C336" t="str">
        <f>HLOOKUP(A336,spelerslijsten!$B$1:$J$22,11,FALSE)</f>
        <v>Helmi van Hirtum</v>
      </c>
      <c r="D336">
        <f>'16'!V18</f>
        <v>0</v>
      </c>
      <c r="F336" t="str">
        <f t="shared" si="96"/>
        <v>SVG Den Bosch7Helmi van Hirtum</v>
      </c>
      <c r="G336">
        <f t="shared" si="97"/>
        <v>0</v>
      </c>
    </row>
    <row r="337" spans="1:7" x14ac:dyDescent="0.3">
      <c r="A337" t="str">
        <f t="shared" si="98"/>
        <v>SVG Den Bosch</v>
      </c>
      <c r="B337">
        <f>'16'!B19</f>
        <v>8</v>
      </c>
      <c r="C337" t="str">
        <f>HLOOKUP(A337,spelerslijsten!$B$1:$J$22,13,FALSE)</f>
        <v>Sara van Grinsven</v>
      </c>
      <c r="D337">
        <f>'16'!V19</f>
        <v>0</v>
      </c>
      <c r="F337" t="str">
        <f t="shared" si="96"/>
        <v>SVG Den Bosch8Sara van Grinsven</v>
      </c>
      <c r="G337">
        <f t="shared" si="97"/>
        <v>0</v>
      </c>
    </row>
    <row r="338" spans="1:7" x14ac:dyDescent="0.3">
      <c r="A338" t="str">
        <f t="shared" si="98"/>
        <v>SVG Den Bosch</v>
      </c>
      <c r="B338">
        <f>'16'!B20</f>
        <v>9</v>
      </c>
      <c r="C338" t="str">
        <f>HLOOKUP(A338,spelerslijsten!$B$1:$J$22,15,FALSE)</f>
        <v>Robby van Gruythuysen</v>
      </c>
      <c r="D338">
        <f>'16'!V20</f>
        <v>0</v>
      </c>
      <c r="F338" t="str">
        <f t="shared" si="96"/>
        <v>SVG Den Bosch9Robby van Gruythuysen</v>
      </c>
      <c r="G338">
        <f t="shared" si="97"/>
        <v>0</v>
      </c>
    </row>
    <row r="339" spans="1:7" x14ac:dyDescent="0.3">
      <c r="A339" t="str">
        <f t="shared" si="98"/>
        <v>SVG Den Bosch</v>
      </c>
      <c r="B339">
        <f>'16'!B21</f>
        <v>10</v>
      </c>
      <c r="C339" t="str">
        <f>HLOOKUP(A339,spelerslijsten!$B$1:$J$22,17,FALSE)</f>
        <v>Peter Schwering</v>
      </c>
      <c r="D339">
        <f>'16'!V21</f>
        <v>0</v>
      </c>
      <c r="F339" t="str">
        <f t="shared" si="96"/>
        <v>SVG Den Bosch10Peter Schwering</v>
      </c>
      <c r="G339">
        <f t="shared" si="97"/>
        <v>0</v>
      </c>
    </row>
    <row r="340" spans="1:7" x14ac:dyDescent="0.3">
      <c r="A340" t="str">
        <f t="shared" si="98"/>
        <v>SVG Den Bosch</v>
      </c>
      <c r="B340">
        <f>'16'!B22</f>
        <v>11</v>
      </c>
      <c r="C340" t="str">
        <f>HLOOKUP(A340,spelerslijsten!$B$1:$J$22,19,FALSE)</f>
        <v>Stefan Hermens</v>
      </c>
      <c r="D340">
        <f>'16'!V22</f>
        <v>0</v>
      </c>
      <c r="F340" t="str">
        <f t="shared" si="96"/>
        <v>SVG Den Bosch11Stefan Hermens</v>
      </c>
      <c r="G340">
        <f t="shared" si="97"/>
        <v>0</v>
      </c>
    </row>
    <row r="341" spans="1:7" x14ac:dyDescent="0.3">
      <c r="A341" t="str">
        <f t="shared" si="98"/>
        <v>SVG Den Bosch</v>
      </c>
      <c r="B341" t="str">
        <f>'16'!B23</f>
        <v/>
      </c>
      <c r="C341">
        <f>HLOOKUP(A341,spelerslijsten!$B$1:$J$22,21,FALSE)</f>
        <v>0</v>
      </c>
      <c r="D341">
        <f>'16'!V23</f>
        <v>0</v>
      </c>
      <c r="F341" t="str">
        <f t="shared" si="96"/>
        <v>SVG Den Bosch0</v>
      </c>
      <c r="G341">
        <f t="shared" si="97"/>
        <v>0</v>
      </c>
    </row>
    <row r="342" spans="1:7" x14ac:dyDescent="0.3">
      <c r="F342" t="str">
        <f t="shared" si="96"/>
        <v/>
      </c>
      <c r="G342">
        <f t="shared" si="97"/>
        <v>0</v>
      </c>
    </row>
    <row r="343" spans="1:7" x14ac:dyDescent="0.3">
      <c r="A343" t="str">
        <f>Wedstrijden!I21</f>
        <v>De Tubanten 1</v>
      </c>
      <c r="B343">
        <f>'16'!B30</f>
        <v>2</v>
      </c>
      <c r="C343" t="str">
        <f>HLOOKUP(A343,spelerslijsten!$B$1:$J$22,3,FALSE)</f>
        <v>Sean Williams</v>
      </c>
      <c r="D343">
        <f>'16'!V30</f>
        <v>0</v>
      </c>
      <c r="F343" t="str">
        <f t="shared" si="96"/>
        <v>De Tubanten 12Sean Williams</v>
      </c>
      <c r="G343">
        <f t="shared" si="97"/>
        <v>0</v>
      </c>
    </row>
    <row r="344" spans="1:7" x14ac:dyDescent="0.3">
      <c r="A344" t="str">
        <f>A343</f>
        <v>De Tubanten 1</v>
      </c>
      <c r="B344">
        <f>'16'!B31</f>
        <v>3</v>
      </c>
      <c r="C344" t="str">
        <f>HLOOKUP(A344,spelerslijsten!$B$1:$J$22,5,FALSE)</f>
        <v>Liam Williams</v>
      </c>
      <c r="D344">
        <f>'16'!V31</f>
        <v>1</v>
      </c>
      <c r="F344" t="str">
        <f t="shared" si="96"/>
        <v>De Tubanten 13Liam Williams</v>
      </c>
      <c r="G344">
        <f t="shared" si="97"/>
        <v>1</v>
      </c>
    </row>
    <row r="345" spans="1:7" x14ac:dyDescent="0.3">
      <c r="A345" t="str">
        <f t="shared" ref="A345:A352" si="99">A344</f>
        <v>De Tubanten 1</v>
      </c>
      <c r="B345">
        <f>'16'!B32</f>
        <v>4</v>
      </c>
      <c r="C345" t="str">
        <f>HLOOKUP(A345,spelerslijsten!$B$1:$J$22,7,FALSE)</f>
        <v>Andre Buitink</v>
      </c>
      <c r="D345">
        <f>'16'!V32</f>
        <v>2</v>
      </c>
      <c r="F345" t="str">
        <f t="shared" si="96"/>
        <v>De Tubanten 14Andre Buitink</v>
      </c>
      <c r="G345">
        <f t="shared" si="97"/>
        <v>2</v>
      </c>
    </row>
    <row r="346" spans="1:7" x14ac:dyDescent="0.3">
      <c r="A346" t="str">
        <f t="shared" si="99"/>
        <v>De Tubanten 1</v>
      </c>
      <c r="B346">
        <f>'16'!B33</f>
        <v>5</v>
      </c>
      <c r="C346" t="str">
        <f>HLOOKUP(A346,spelerslijsten!$B$1:$J$22,9,FALSE)</f>
        <v>Marco Ensink</v>
      </c>
      <c r="D346">
        <f>'16'!V33</f>
        <v>0</v>
      </c>
      <c r="F346" t="str">
        <f t="shared" si="96"/>
        <v>De Tubanten 15Marco Ensink</v>
      </c>
      <c r="G346">
        <f t="shared" si="97"/>
        <v>0</v>
      </c>
    </row>
    <row r="347" spans="1:7" x14ac:dyDescent="0.3">
      <c r="A347" t="str">
        <f t="shared" si="99"/>
        <v>De Tubanten 1</v>
      </c>
      <c r="B347">
        <f>'16'!B34</f>
        <v>6</v>
      </c>
      <c r="C347" t="str">
        <f>HLOOKUP(A347,spelerslijsten!$B$1:$J$22,11,FALSE)</f>
        <v>Precilla Beune</v>
      </c>
      <c r="D347">
        <f>'16'!V34</f>
        <v>0</v>
      </c>
      <c r="F347" t="str">
        <f t="shared" si="96"/>
        <v>De Tubanten 16Precilla Beune</v>
      </c>
      <c r="G347">
        <f t="shared" si="97"/>
        <v>0</v>
      </c>
    </row>
    <row r="348" spans="1:7" x14ac:dyDescent="0.3">
      <c r="A348" t="str">
        <f t="shared" si="99"/>
        <v>De Tubanten 1</v>
      </c>
      <c r="B348">
        <f>'16'!B35</f>
        <v>7</v>
      </c>
      <c r="C348" t="str">
        <f>HLOOKUP(A348,spelerslijsten!$B$1:$J$22,13,FALSE)</f>
        <v>Timo Hazelhoff</v>
      </c>
      <c r="D348">
        <f>'16'!V35</f>
        <v>0</v>
      </c>
      <c r="F348" t="str">
        <f t="shared" si="96"/>
        <v>De Tubanten 17Timo Hazelhoff</v>
      </c>
      <c r="G348">
        <f t="shared" si="97"/>
        <v>0</v>
      </c>
    </row>
    <row r="349" spans="1:7" x14ac:dyDescent="0.3">
      <c r="A349" t="str">
        <f t="shared" si="99"/>
        <v>De Tubanten 1</v>
      </c>
      <c r="B349">
        <f>'16'!B36</f>
        <v>8</v>
      </c>
      <c r="C349" t="str">
        <f>HLOOKUP(A349,spelerslijsten!$B$1:$J$22,15,FALSE)</f>
        <v>Mike Regtop</v>
      </c>
      <c r="D349">
        <f>'16'!V36</f>
        <v>0</v>
      </c>
      <c r="F349" t="str">
        <f t="shared" si="96"/>
        <v>De Tubanten 18Mike Regtop</v>
      </c>
      <c r="G349">
        <f t="shared" si="97"/>
        <v>0</v>
      </c>
    </row>
    <row r="350" spans="1:7" x14ac:dyDescent="0.3">
      <c r="A350" t="str">
        <f t="shared" si="99"/>
        <v>De Tubanten 1</v>
      </c>
      <c r="B350" t="str">
        <f>'16'!B37</f>
        <v/>
      </c>
      <c r="C350">
        <f>HLOOKUP(A350,spelerslijsten!$B$1:$J$22,17,FALSE)</f>
        <v>0</v>
      </c>
      <c r="D350">
        <f>'16'!V37</f>
        <v>0</v>
      </c>
      <c r="F350" t="str">
        <f t="shared" si="96"/>
        <v>De Tubanten 10</v>
      </c>
      <c r="G350">
        <f t="shared" si="97"/>
        <v>0</v>
      </c>
    </row>
    <row r="351" spans="1:7" x14ac:dyDescent="0.3">
      <c r="A351" t="str">
        <f t="shared" si="99"/>
        <v>De Tubanten 1</v>
      </c>
      <c r="B351" t="str">
        <f>'16'!B38</f>
        <v/>
      </c>
      <c r="C351">
        <f>HLOOKUP(A351,spelerslijsten!$B$1:$J$22,19,FALSE)</f>
        <v>0</v>
      </c>
      <c r="D351">
        <f>'16'!V38</f>
        <v>0</v>
      </c>
      <c r="F351" t="str">
        <f t="shared" si="96"/>
        <v>De Tubanten 10</v>
      </c>
      <c r="G351">
        <f t="shared" si="97"/>
        <v>0</v>
      </c>
    </row>
    <row r="352" spans="1:7" x14ac:dyDescent="0.3">
      <c r="A352" t="str">
        <f t="shared" si="99"/>
        <v>De Tubanten 1</v>
      </c>
      <c r="B352" t="str">
        <f>'16'!B39</f>
        <v/>
      </c>
      <c r="C352">
        <f>HLOOKUP(A352,spelerslijsten!$B$1:$J$22,21,FALSE)</f>
        <v>0</v>
      </c>
      <c r="D352">
        <f>'16'!V39</f>
        <v>0</v>
      </c>
      <c r="F352" t="str">
        <f t="shared" si="96"/>
        <v>De Tubanten 10</v>
      </c>
      <c r="G352">
        <f t="shared" si="97"/>
        <v>0</v>
      </c>
    </row>
    <row r="353" spans="1:7" x14ac:dyDescent="0.3">
      <c r="A353" t="s">
        <v>170</v>
      </c>
      <c r="F353" t="str">
        <f t="shared" si="96"/>
        <v>Wed17</v>
      </c>
      <c r="G353">
        <f t="shared" si="97"/>
        <v>0</v>
      </c>
    </row>
    <row r="354" spans="1:7" x14ac:dyDescent="0.3">
      <c r="A354" t="str">
        <f>Wedstrijden!E22</f>
        <v>VZ&amp;PC Nautilus 1</v>
      </c>
      <c r="B354">
        <f>'17'!B14</f>
        <v>2</v>
      </c>
      <c r="C354" t="str">
        <f>HLOOKUP(A354,spelerslijsten!$B$1:$J$22,3,FALSE)</f>
        <v>Corne Braken</v>
      </c>
      <c r="D354">
        <f>'17'!V14</f>
        <v>0</v>
      </c>
      <c r="F354" t="str">
        <f t="shared" si="96"/>
        <v>VZ&amp;PC Nautilus 12Corne Braken</v>
      </c>
      <c r="G354">
        <f t="shared" si="97"/>
        <v>0</v>
      </c>
    </row>
    <row r="355" spans="1:7" x14ac:dyDescent="0.3">
      <c r="A355" t="str">
        <f>A354</f>
        <v>VZ&amp;PC Nautilus 1</v>
      </c>
      <c r="B355">
        <f>'17'!B15</f>
        <v>3</v>
      </c>
      <c r="C355" t="str">
        <f>HLOOKUP(A355,spelerslijsten!$B$1:$J$22,5,FALSE)</f>
        <v>Kevin Kanters</v>
      </c>
      <c r="D355">
        <f>'17'!V15</f>
        <v>0</v>
      </c>
      <c r="F355" t="str">
        <f t="shared" si="96"/>
        <v>VZ&amp;PC Nautilus 13Kevin Kanters</v>
      </c>
      <c r="G355">
        <f t="shared" si="97"/>
        <v>0</v>
      </c>
    </row>
    <row r="356" spans="1:7" x14ac:dyDescent="0.3">
      <c r="A356" t="str">
        <f t="shared" ref="A356:A363" si="100">A355</f>
        <v>VZ&amp;PC Nautilus 1</v>
      </c>
      <c r="B356">
        <f>'17'!B16</f>
        <v>4</v>
      </c>
      <c r="C356" t="str">
        <f>HLOOKUP(A356,spelerslijsten!$B$1:$J$22,7,FALSE)</f>
        <v>Monique Schouten</v>
      </c>
      <c r="D356">
        <f>'17'!V16</f>
        <v>1</v>
      </c>
      <c r="F356" t="str">
        <f t="shared" si="96"/>
        <v>VZ&amp;PC Nautilus 14Monique Schouten</v>
      </c>
      <c r="G356">
        <f t="shared" si="97"/>
        <v>1</v>
      </c>
    </row>
    <row r="357" spans="1:7" x14ac:dyDescent="0.3">
      <c r="A357" t="str">
        <f t="shared" si="100"/>
        <v>VZ&amp;PC Nautilus 1</v>
      </c>
      <c r="B357">
        <f>'17'!B17</f>
        <v>5</v>
      </c>
      <c r="C357" t="str">
        <f>HLOOKUP(A357,spelerslijsten!$B$1:$J$22,9,FALSE)</f>
        <v>Miranda van Schaijk</v>
      </c>
      <c r="D357">
        <f>'17'!V17</f>
        <v>0</v>
      </c>
      <c r="F357" t="str">
        <f t="shared" si="96"/>
        <v>VZ&amp;PC Nautilus 15Miranda van Schaijk</v>
      </c>
      <c r="G357">
        <f t="shared" si="97"/>
        <v>0</v>
      </c>
    </row>
    <row r="358" spans="1:7" x14ac:dyDescent="0.3">
      <c r="A358" t="str">
        <f t="shared" si="100"/>
        <v>VZ&amp;PC Nautilus 1</v>
      </c>
      <c r="B358">
        <f>'17'!B18</f>
        <v>6</v>
      </c>
      <c r="C358" t="str">
        <f>HLOOKUP(A358,spelerslijsten!$B$1:$J$22,11,FALSE)</f>
        <v>Jan Zegers</v>
      </c>
      <c r="D358">
        <f>'17'!V18</f>
        <v>0</v>
      </c>
      <c r="F358" t="str">
        <f t="shared" si="96"/>
        <v>VZ&amp;PC Nautilus 16Jan Zegers</v>
      </c>
      <c r="G358">
        <f t="shared" si="97"/>
        <v>0</v>
      </c>
    </row>
    <row r="359" spans="1:7" x14ac:dyDescent="0.3">
      <c r="A359" t="str">
        <f t="shared" si="100"/>
        <v>VZ&amp;PC Nautilus 1</v>
      </c>
      <c r="B359">
        <f>'17'!B19</f>
        <v>9</v>
      </c>
      <c r="C359" t="str">
        <f>HLOOKUP(A359,spelerslijsten!$B$1:$J$22,13,FALSE)</f>
        <v>Christian Gibbels</v>
      </c>
      <c r="D359">
        <f>'17'!V19</f>
        <v>0</v>
      </c>
      <c r="F359" t="str">
        <f t="shared" si="96"/>
        <v>VZ&amp;PC Nautilus 19Christian Gibbels</v>
      </c>
      <c r="G359">
        <f t="shared" si="97"/>
        <v>0</v>
      </c>
    </row>
    <row r="360" spans="1:7" x14ac:dyDescent="0.3">
      <c r="A360" t="str">
        <f t="shared" si="100"/>
        <v>VZ&amp;PC Nautilus 1</v>
      </c>
      <c r="B360">
        <f>'17'!B20</f>
        <v>10</v>
      </c>
      <c r="C360" t="str">
        <f>HLOOKUP(A360,spelerslijsten!$B$1:$J$22,15,FALSE)</f>
        <v>Stefan van der Wielen</v>
      </c>
      <c r="D360">
        <f>'17'!V20</f>
        <v>0</v>
      </c>
      <c r="F360" t="str">
        <f t="shared" si="96"/>
        <v>VZ&amp;PC Nautilus 110Stefan van der Wielen</v>
      </c>
      <c r="G360">
        <f t="shared" si="97"/>
        <v>0</v>
      </c>
    </row>
    <row r="361" spans="1:7" x14ac:dyDescent="0.3">
      <c r="A361" t="str">
        <f t="shared" si="100"/>
        <v>VZ&amp;PC Nautilus 1</v>
      </c>
      <c r="B361" t="str">
        <f>'17'!B21</f>
        <v/>
      </c>
      <c r="C361">
        <f>HLOOKUP(A361,spelerslijsten!$B$1:$J$22,17,FALSE)</f>
        <v>0</v>
      </c>
      <c r="D361">
        <f>'17'!V21</f>
        <v>0</v>
      </c>
      <c r="F361" t="str">
        <f t="shared" si="96"/>
        <v>VZ&amp;PC Nautilus 10</v>
      </c>
      <c r="G361">
        <f t="shared" si="97"/>
        <v>0</v>
      </c>
    </row>
    <row r="362" spans="1:7" x14ac:dyDescent="0.3">
      <c r="A362" t="str">
        <f t="shared" si="100"/>
        <v>VZ&amp;PC Nautilus 1</v>
      </c>
      <c r="B362" t="str">
        <f>'17'!B22</f>
        <v/>
      </c>
      <c r="C362">
        <f>HLOOKUP(A362,spelerslijsten!$B$1:$J$22,19,FALSE)</f>
        <v>0</v>
      </c>
      <c r="D362">
        <f>'17'!V22</f>
        <v>0</v>
      </c>
      <c r="F362" t="str">
        <f t="shared" si="96"/>
        <v>VZ&amp;PC Nautilus 10</v>
      </c>
      <c r="G362">
        <f t="shared" si="97"/>
        <v>0</v>
      </c>
    </row>
    <row r="363" spans="1:7" x14ac:dyDescent="0.3">
      <c r="A363" t="str">
        <f t="shared" si="100"/>
        <v>VZ&amp;PC Nautilus 1</v>
      </c>
      <c r="B363" t="str">
        <f>'17'!B23</f>
        <v/>
      </c>
      <c r="C363">
        <f>HLOOKUP(A363,spelerslijsten!$B$1:$J$22,21,FALSE)</f>
        <v>0</v>
      </c>
      <c r="D363">
        <f>'17'!V23</f>
        <v>0</v>
      </c>
      <c r="F363" t="str">
        <f t="shared" si="96"/>
        <v>VZ&amp;PC Nautilus 10</v>
      </c>
      <c r="G363">
        <f t="shared" si="97"/>
        <v>0</v>
      </c>
    </row>
    <row r="364" spans="1:7" x14ac:dyDescent="0.3">
      <c r="F364" t="str">
        <f t="shared" si="96"/>
        <v/>
      </c>
      <c r="G364">
        <f t="shared" si="97"/>
        <v>0</v>
      </c>
    </row>
    <row r="365" spans="1:7" x14ac:dyDescent="0.3">
      <c r="A365" t="str">
        <f>Wedstrijden!I22</f>
        <v>VZ&amp;PC Nautilus 2</v>
      </c>
      <c r="B365">
        <f>'17'!B30</f>
        <v>2</v>
      </c>
      <c r="C365" t="str">
        <f>HLOOKUP(A365,spelerslijsten!$B$1:$J$22,3,FALSE)</f>
        <v>Willy van Grunsven</v>
      </c>
      <c r="D365">
        <f>'17'!V30</f>
        <v>0</v>
      </c>
      <c r="F365" t="str">
        <f t="shared" si="96"/>
        <v>VZ&amp;PC Nautilus 22Willy van Grunsven</v>
      </c>
      <c r="G365">
        <f t="shared" si="97"/>
        <v>0</v>
      </c>
    </row>
    <row r="366" spans="1:7" x14ac:dyDescent="0.3">
      <c r="A366" t="str">
        <f>A365</f>
        <v>VZ&amp;PC Nautilus 2</v>
      </c>
      <c r="B366">
        <f>'17'!B31</f>
        <v>3</v>
      </c>
      <c r="C366" t="str">
        <f>HLOOKUP(A366,spelerslijsten!$B$1:$J$22,5,FALSE)</f>
        <v>Manuel Bastiaans</v>
      </c>
      <c r="D366">
        <f>'17'!V31</f>
        <v>0</v>
      </c>
      <c r="F366" t="str">
        <f t="shared" si="96"/>
        <v>VZ&amp;PC Nautilus 23Manuel Bastiaans</v>
      </c>
      <c r="G366">
        <f t="shared" si="97"/>
        <v>0</v>
      </c>
    </row>
    <row r="367" spans="1:7" x14ac:dyDescent="0.3">
      <c r="A367" t="str">
        <f t="shared" ref="A367:A374" si="101">A366</f>
        <v>VZ&amp;PC Nautilus 2</v>
      </c>
      <c r="B367">
        <f>'17'!B32</f>
        <v>4</v>
      </c>
      <c r="C367" t="str">
        <f>HLOOKUP(A367,spelerslijsten!$B$1:$J$22,7,FALSE)</f>
        <v>Marga Schouten</v>
      </c>
      <c r="D367">
        <f>'17'!V32</f>
        <v>0</v>
      </c>
      <c r="F367" t="str">
        <f t="shared" si="96"/>
        <v>VZ&amp;PC Nautilus 24Marga Schouten</v>
      </c>
      <c r="G367">
        <f t="shared" si="97"/>
        <v>0</v>
      </c>
    </row>
    <row r="368" spans="1:7" x14ac:dyDescent="0.3">
      <c r="A368" t="str">
        <f t="shared" si="101"/>
        <v>VZ&amp;PC Nautilus 2</v>
      </c>
      <c r="B368">
        <f>'17'!B33</f>
        <v>6</v>
      </c>
      <c r="C368" t="str">
        <f>HLOOKUP(A368,spelerslijsten!$B$1:$J$22,9,FALSE)</f>
        <v>Anja Braken</v>
      </c>
      <c r="D368">
        <f>'17'!V33</f>
        <v>0</v>
      </c>
      <c r="F368" t="str">
        <f t="shared" si="96"/>
        <v>VZ&amp;PC Nautilus 26Anja Braken</v>
      </c>
      <c r="G368">
        <f t="shared" si="97"/>
        <v>0</v>
      </c>
    </row>
    <row r="369" spans="1:7" x14ac:dyDescent="0.3">
      <c r="A369" t="str">
        <f t="shared" si="101"/>
        <v>VZ&amp;PC Nautilus 2</v>
      </c>
      <c r="B369">
        <f>'17'!B34</f>
        <v>7</v>
      </c>
      <c r="C369" t="str">
        <f>HLOOKUP(A369,spelerslijsten!$B$1:$J$22,11,FALSE)</f>
        <v>Mieke van Gerwen</v>
      </c>
      <c r="D369">
        <f>'17'!V34</f>
        <v>1</v>
      </c>
      <c r="F369" t="str">
        <f t="shared" si="96"/>
        <v>VZ&amp;PC Nautilus 27Mieke van Gerwen</v>
      </c>
      <c r="G369">
        <f t="shared" si="97"/>
        <v>1</v>
      </c>
    </row>
    <row r="370" spans="1:7" x14ac:dyDescent="0.3">
      <c r="A370" t="str">
        <f t="shared" si="101"/>
        <v>VZ&amp;PC Nautilus 2</v>
      </c>
      <c r="B370">
        <f>'17'!B35</f>
        <v>8</v>
      </c>
      <c r="C370" t="str">
        <f>HLOOKUP(A370,spelerslijsten!$B$1:$J$22,13,FALSE)</f>
        <v>Susan van Wanrooy</v>
      </c>
      <c r="D370">
        <f>'17'!V35</f>
        <v>0</v>
      </c>
      <c r="F370" t="str">
        <f t="shared" si="96"/>
        <v>VZ&amp;PC Nautilus 28Susan van Wanrooy</v>
      </c>
      <c r="G370">
        <f t="shared" si="97"/>
        <v>0</v>
      </c>
    </row>
    <row r="371" spans="1:7" x14ac:dyDescent="0.3">
      <c r="A371" t="str">
        <f t="shared" si="101"/>
        <v>VZ&amp;PC Nautilus 2</v>
      </c>
      <c r="B371">
        <f>'17'!B36</f>
        <v>10</v>
      </c>
      <c r="C371" t="str">
        <f>HLOOKUP(A371,spelerslijsten!$B$1:$J$22,15,FALSE)</f>
        <v>Jeffrey Danen</v>
      </c>
      <c r="D371">
        <f>'17'!V36</f>
        <v>1</v>
      </c>
      <c r="F371" t="str">
        <f t="shared" si="96"/>
        <v>VZ&amp;PC Nautilus 210Jeffrey Danen</v>
      </c>
      <c r="G371">
        <f t="shared" si="97"/>
        <v>1</v>
      </c>
    </row>
    <row r="372" spans="1:7" x14ac:dyDescent="0.3">
      <c r="A372" t="str">
        <f t="shared" si="101"/>
        <v>VZ&amp;PC Nautilus 2</v>
      </c>
      <c r="B372" t="str">
        <f>'17'!B37</f>
        <v/>
      </c>
      <c r="C372">
        <f>HLOOKUP(A372,spelerslijsten!$B$1:$J$22,17,FALSE)</f>
        <v>0</v>
      </c>
      <c r="D372">
        <f>'17'!V37</f>
        <v>0</v>
      </c>
      <c r="F372" t="str">
        <f t="shared" si="96"/>
        <v>VZ&amp;PC Nautilus 20</v>
      </c>
      <c r="G372">
        <f t="shared" si="97"/>
        <v>0</v>
      </c>
    </row>
    <row r="373" spans="1:7" x14ac:dyDescent="0.3">
      <c r="A373" t="str">
        <f t="shared" si="101"/>
        <v>VZ&amp;PC Nautilus 2</v>
      </c>
      <c r="B373" t="str">
        <f>'17'!B38</f>
        <v/>
      </c>
      <c r="C373">
        <f>HLOOKUP(A373,spelerslijsten!$B$1:$J$22,19,FALSE)</f>
        <v>0</v>
      </c>
      <c r="D373">
        <f>'17'!V38</f>
        <v>0</v>
      </c>
      <c r="F373" t="str">
        <f t="shared" si="96"/>
        <v>VZ&amp;PC Nautilus 20</v>
      </c>
      <c r="G373">
        <f t="shared" si="97"/>
        <v>0</v>
      </c>
    </row>
    <row r="374" spans="1:7" x14ac:dyDescent="0.3">
      <c r="A374" t="str">
        <f t="shared" si="101"/>
        <v>VZ&amp;PC Nautilus 2</v>
      </c>
      <c r="B374" t="str">
        <f>'17'!B39</f>
        <v/>
      </c>
      <c r="C374">
        <f>HLOOKUP(A374,spelerslijsten!$B$1:$J$22,21,FALSE)</f>
        <v>0</v>
      </c>
      <c r="D374">
        <f>'17'!V39</f>
        <v>0</v>
      </c>
      <c r="F374" t="str">
        <f t="shared" si="96"/>
        <v>VZ&amp;PC Nautilus 20</v>
      </c>
      <c r="G374">
        <f t="shared" si="97"/>
        <v>0</v>
      </c>
    </row>
    <row r="375" spans="1:7" x14ac:dyDescent="0.3">
      <c r="A375" t="s">
        <v>171</v>
      </c>
      <c r="F375" t="str">
        <f t="shared" si="96"/>
        <v>Wed18</v>
      </c>
      <c r="G375">
        <f t="shared" si="97"/>
        <v>0</v>
      </c>
    </row>
    <row r="376" spans="1:7" x14ac:dyDescent="0.3">
      <c r="A376" t="str">
        <f>Wedstrijden!E23</f>
        <v>RZ Roermond</v>
      </c>
      <c r="B376">
        <f>'18'!B14</f>
        <v>3</v>
      </c>
      <c r="C376" t="str">
        <f>HLOOKUP(A376,spelerslijsten!$B$1:$J$22,3,FALSE)</f>
        <v>Helga Addink</v>
      </c>
      <c r="D376">
        <f>'18'!V14</f>
        <v>0</v>
      </c>
      <c r="F376" t="str">
        <f t="shared" si="96"/>
        <v>RZ Roermond3Helga Addink</v>
      </c>
      <c r="G376">
        <f t="shared" si="97"/>
        <v>0</v>
      </c>
    </row>
    <row r="377" spans="1:7" x14ac:dyDescent="0.3">
      <c r="A377" t="str">
        <f>A376</f>
        <v>RZ Roermond</v>
      </c>
      <c r="B377">
        <f>'18'!B15</f>
        <v>4</v>
      </c>
      <c r="C377" t="str">
        <f>HLOOKUP(A377,spelerslijsten!$B$1:$J$22,5,FALSE)</f>
        <v>Werner Dudek</v>
      </c>
      <c r="D377">
        <f>'18'!V15</f>
        <v>1</v>
      </c>
      <c r="F377" t="str">
        <f t="shared" si="96"/>
        <v>RZ Roermond4Werner Dudek</v>
      </c>
      <c r="G377">
        <f t="shared" si="97"/>
        <v>1</v>
      </c>
    </row>
    <row r="378" spans="1:7" x14ac:dyDescent="0.3">
      <c r="A378" t="str">
        <f t="shared" ref="A378:A385" si="102">A377</f>
        <v>RZ Roermond</v>
      </c>
      <c r="B378">
        <f>'18'!B16</f>
        <v>5</v>
      </c>
      <c r="C378" t="str">
        <f>HLOOKUP(A378,spelerslijsten!$B$1:$J$22,7,FALSE)</f>
        <v>Luc Mulder</v>
      </c>
      <c r="D378">
        <f>'18'!V16</f>
        <v>0</v>
      </c>
      <c r="F378" t="str">
        <f t="shared" si="96"/>
        <v>RZ Roermond5Luc Mulder</v>
      </c>
      <c r="G378">
        <f t="shared" si="97"/>
        <v>0</v>
      </c>
    </row>
    <row r="379" spans="1:7" x14ac:dyDescent="0.3">
      <c r="A379" t="str">
        <f t="shared" si="102"/>
        <v>RZ Roermond</v>
      </c>
      <c r="B379">
        <f>'18'!B17</f>
        <v>7</v>
      </c>
      <c r="C379" t="str">
        <f>HLOOKUP(A379,spelerslijsten!$B$1:$J$22,9,FALSE)</f>
        <v>Ties Bouten</v>
      </c>
      <c r="D379">
        <f>'18'!V17</f>
        <v>0</v>
      </c>
      <c r="F379" t="str">
        <f t="shared" si="96"/>
        <v>RZ Roermond7Ties Bouten</v>
      </c>
      <c r="G379">
        <f t="shared" si="97"/>
        <v>0</v>
      </c>
    </row>
    <row r="380" spans="1:7" x14ac:dyDescent="0.3">
      <c r="A380" t="str">
        <f t="shared" si="102"/>
        <v>RZ Roermond</v>
      </c>
      <c r="B380">
        <f>'18'!B18</f>
        <v>9</v>
      </c>
      <c r="C380" t="str">
        <f>HLOOKUP(A380,spelerslijsten!$B$1:$J$22,11,FALSE)</f>
        <v>Wilma van Helden</v>
      </c>
      <c r="D380">
        <f>'18'!V18</f>
        <v>2</v>
      </c>
      <c r="F380" t="str">
        <f t="shared" si="96"/>
        <v>RZ Roermond9Wilma van Helden</v>
      </c>
      <c r="G380">
        <f t="shared" si="97"/>
        <v>2</v>
      </c>
    </row>
    <row r="381" spans="1:7" x14ac:dyDescent="0.3">
      <c r="A381" t="str">
        <f t="shared" si="102"/>
        <v>RZ Roermond</v>
      </c>
      <c r="B381">
        <f>'18'!B19</f>
        <v>11</v>
      </c>
      <c r="C381" t="str">
        <f>HLOOKUP(A381,spelerslijsten!$B$1:$J$22,13,FALSE)</f>
        <v>Sonja Bouten</v>
      </c>
      <c r="D381">
        <f>'18'!V19</f>
        <v>1</v>
      </c>
      <c r="F381" t="str">
        <f t="shared" si="96"/>
        <v>RZ Roermond11Sonja Bouten</v>
      </c>
      <c r="G381">
        <f t="shared" si="97"/>
        <v>1</v>
      </c>
    </row>
    <row r="382" spans="1:7" x14ac:dyDescent="0.3">
      <c r="A382" t="str">
        <f t="shared" si="102"/>
        <v>RZ Roermond</v>
      </c>
      <c r="B382">
        <f>'18'!B20</f>
        <v>12</v>
      </c>
      <c r="C382" t="str">
        <f>HLOOKUP(A382,spelerslijsten!$B$1:$J$22,15,FALSE)</f>
        <v>Hans Reijnders (leen)</v>
      </c>
      <c r="D382">
        <f>'18'!V20</f>
        <v>0</v>
      </c>
      <c r="F382" t="str">
        <f t="shared" si="96"/>
        <v>RZ Roermond12Hans Reijnders (leen)</v>
      </c>
      <c r="G382">
        <f t="shared" si="97"/>
        <v>0</v>
      </c>
    </row>
    <row r="383" spans="1:7" x14ac:dyDescent="0.3">
      <c r="A383" t="str">
        <f t="shared" si="102"/>
        <v>RZ Roermond</v>
      </c>
      <c r="B383" t="str">
        <f>'18'!B21</f>
        <v/>
      </c>
      <c r="C383">
        <f>HLOOKUP(A383,spelerslijsten!$B$1:$J$22,17,FALSE)</f>
        <v>0</v>
      </c>
      <c r="D383">
        <f>'18'!V21</f>
        <v>0</v>
      </c>
      <c r="F383" t="str">
        <f t="shared" si="96"/>
        <v>RZ Roermond0</v>
      </c>
      <c r="G383">
        <f t="shared" si="97"/>
        <v>0</v>
      </c>
    </row>
    <row r="384" spans="1:7" x14ac:dyDescent="0.3">
      <c r="A384" t="str">
        <f t="shared" si="102"/>
        <v>RZ Roermond</v>
      </c>
      <c r="B384" t="str">
        <f>'18'!B22</f>
        <v/>
      </c>
      <c r="C384">
        <f>HLOOKUP(A384,spelerslijsten!$B$1:$J$22,19,FALSE)</f>
        <v>0</v>
      </c>
      <c r="D384">
        <f>'18'!V22</f>
        <v>0</v>
      </c>
      <c r="F384" t="str">
        <f t="shared" si="96"/>
        <v>RZ Roermond0</v>
      </c>
      <c r="G384">
        <f t="shared" si="97"/>
        <v>0</v>
      </c>
    </row>
    <row r="385" spans="1:7" x14ac:dyDescent="0.3">
      <c r="A385" t="str">
        <f t="shared" si="102"/>
        <v>RZ Roermond</v>
      </c>
      <c r="B385" t="str">
        <f>'18'!B23</f>
        <v/>
      </c>
      <c r="C385">
        <f>HLOOKUP(A385,spelerslijsten!$B$1:$J$22,21,FALSE)</f>
        <v>0</v>
      </c>
      <c r="D385">
        <f>'18'!V23</f>
        <v>0</v>
      </c>
      <c r="F385" t="str">
        <f t="shared" si="96"/>
        <v>RZ Roermond0</v>
      </c>
      <c r="G385">
        <f t="shared" si="97"/>
        <v>0</v>
      </c>
    </row>
    <row r="386" spans="1:7" x14ac:dyDescent="0.3">
      <c r="F386" t="str">
        <f t="shared" si="96"/>
        <v/>
      </c>
      <c r="G386">
        <f t="shared" si="97"/>
        <v>0</v>
      </c>
    </row>
    <row r="387" spans="1:7" x14ac:dyDescent="0.3">
      <c r="A387" t="str">
        <f>Wedstrijden!I23</f>
        <v>Gesposs Blauw</v>
      </c>
      <c r="B387">
        <f>'18'!B30</f>
        <v>2</v>
      </c>
      <c r="C387" t="str">
        <f>HLOOKUP(A387,spelerslijsten!$B$1:$J$22,3,FALSE)</f>
        <v>Jack Steeghs</v>
      </c>
      <c r="D387">
        <f>'18'!V30</f>
        <v>0</v>
      </c>
      <c r="F387" t="str">
        <f t="shared" si="96"/>
        <v>Gesposs Blauw2Jack Steeghs</v>
      </c>
      <c r="G387">
        <f t="shared" si="97"/>
        <v>0</v>
      </c>
    </row>
    <row r="388" spans="1:7" x14ac:dyDescent="0.3">
      <c r="A388" t="str">
        <f>A387</f>
        <v>Gesposs Blauw</v>
      </c>
      <c r="B388">
        <f>'18'!B31</f>
        <v>3</v>
      </c>
      <c r="C388" t="str">
        <f>HLOOKUP(A388,spelerslijsten!$B$1:$J$22,5,FALSE)</f>
        <v>Niels Venterink</v>
      </c>
      <c r="D388">
        <f>'18'!V31</f>
        <v>0</v>
      </c>
      <c r="F388" t="str">
        <f t="shared" si="96"/>
        <v>Gesposs Blauw3Niels Venterink</v>
      </c>
      <c r="G388">
        <f t="shared" si="97"/>
        <v>0</v>
      </c>
    </row>
    <row r="389" spans="1:7" x14ac:dyDescent="0.3">
      <c r="A389" t="str">
        <f t="shared" ref="A389:A396" si="103">A388</f>
        <v>Gesposs Blauw</v>
      </c>
      <c r="B389">
        <f>'18'!B32</f>
        <v>4</v>
      </c>
      <c r="C389" t="str">
        <f>HLOOKUP(A389,spelerslijsten!$B$1:$J$22,7,FALSE)</f>
        <v>Wendy Kuysters</v>
      </c>
      <c r="D389">
        <f>'18'!V32</f>
        <v>0</v>
      </c>
      <c r="F389" t="str">
        <f t="shared" si="96"/>
        <v>Gesposs Blauw4Wendy Kuysters</v>
      </c>
      <c r="G389">
        <f t="shared" si="97"/>
        <v>0</v>
      </c>
    </row>
    <row r="390" spans="1:7" x14ac:dyDescent="0.3">
      <c r="A390" t="str">
        <f t="shared" si="103"/>
        <v>Gesposs Blauw</v>
      </c>
      <c r="B390">
        <f>'18'!B33</f>
        <v>6</v>
      </c>
      <c r="C390" t="str">
        <f>HLOOKUP(A390,spelerslijsten!$B$1:$J$22,9,FALSE)</f>
        <v>Kristel Henst</v>
      </c>
      <c r="D390">
        <f>'18'!V33</f>
        <v>0</v>
      </c>
      <c r="F390" t="str">
        <f t="shared" si="96"/>
        <v>Gesposs Blauw6Kristel Henst</v>
      </c>
      <c r="G390">
        <f t="shared" si="97"/>
        <v>0</v>
      </c>
    </row>
    <row r="391" spans="1:7" x14ac:dyDescent="0.3">
      <c r="A391" t="str">
        <f t="shared" si="103"/>
        <v>Gesposs Blauw</v>
      </c>
      <c r="B391">
        <f>'18'!B34</f>
        <v>7</v>
      </c>
      <c r="C391" t="str">
        <f>HLOOKUP(A391,spelerslijsten!$B$1:$J$22,11,FALSE)</f>
        <v>Wout Reininga</v>
      </c>
      <c r="D391">
        <f>'18'!V34</f>
        <v>2</v>
      </c>
      <c r="F391" t="str">
        <f t="shared" si="96"/>
        <v>Gesposs Blauw7Wout Reininga</v>
      </c>
      <c r="G391">
        <f t="shared" si="97"/>
        <v>2</v>
      </c>
    </row>
    <row r="392" spans="1:7" x14ac:dyDescent="0.3">
      <c r="A392" t="str">
        <f t="shared" si="103"/>
        <v>Gesposs Blauw</v>
      </c>
      <c r="B392">
        <f>'18'!B35</f>
        <v>8</v>
      </c>
      <c r="C392" t="str">
        <f>HLOOKUP(A392,spelerslijsten!$B$1:$J$22,13,FALSE)</f>
        <v>Romy Hoed-Venterink</v>
      </c>
      <c r="D392">
        <f>'18'!V35</f>
        <v>5</v>
      </c>
      <c r="F392" t="str">
        <f t="shared" si="96"/>
        <v>Gesposs Blauw8Romy Hoed-Venterink</v>
      </c>
      <c r="G392">
        <f t="shared" si="97"/>
        <v>5</v>
      </c>
    </row>
    <row r="393" spans="1:7" x14ac:dyDescent="0.3">
      <c r="A393" t="str">
        <f t="shared" si="103"/>
        <v>Gesposs Blauw</v>
      </c>
      <c r="B393">
        <f>'18'!B36</f>
        <v>9</v>
      </c>
      <c r="C393" t="str">
        <f>HLOOKUP(A393,spelerslijsten!$B$1:$J$22,15,FALSE)</f>
        <v>Marieke van Namen</v>
      </c>
      <c r="D393">
        <f>'18'!V36</f>
        <v>0</v>
      </c>
      <c r="F393" t="str">
        <f t="shared" si="96"/>
        <v>Gesposs Blauw9Marieke van Namen</v>
      </c>
      <c r="G393">
        <f t="shared" si="97"/>
        <v>0</v>
      </c>
    </row>
    <row r="394" spans="1:7" x14ac:dyDescent="0.3">
      <c r="A394" t="str">
        <f t="shared" si="103"/>
        <v>Gesposs Blauw</v>
      </c>
      <c r="B394">
        <f>'18'!B37</f>
        <v>10</v>
      </c>
      <c r="C394" t="str">
        <f>HLOOKUP(A394,spelerslijsten!$B$1:$J$22,17,FALSE)</f>
        <v>Manon Dekkers</v>
      </c>
      <c r="D394">
        <f>'18'!V37</f>
        <v>1</v>
      </c>
      <c r="F394" t="str">
        <f t="shared" si="96"/>
        <v>Gesposs Blauw10Manon Dekkers</v>
      </c>
      <c r="G394">
        <f t="shared" si="97"/>
        <v>1</v>
      </c>
    </row>
    <row r="395" spans="1:7" x14ac:dyDescent="0.3">
      <c r="A395" t="str">
        <f t="shared" si="103"/>
        <v>Gesposs Blauw</v>
      </c>
      <c r="B395">
        <f>'18'!B38</f>
        <v>11</v>
      </c>
      <c r="C395" t="str">
        <f>HLOOKUP(A395,spelerslijsten!$B$1:$J$22,19,FALSE)</f>
        <v>Celine van de Heuvel</v>
      </c>
      <c r="D395">
        <f>'18'!V38</f>
        <v>0</v>
      </c>
      <c r="F395" t="str">
        <f t="shared" ref="F395:F440" si="104">CONCATENATE(A395&amp;B395&amp;C395)</f>
        <v>Gesposs Blauw11Celine van de Heuvel</v>
      </c>
      <c r="G395">
        <f t="shared" ref="G395:G440" si="105">D395</f>
        <v>0</v>
      </c>
    </row>
    <row r="396" spans="1:7" x14ac:dyDescent="0.3">
      <c r="A396" t="str">
        <f t="shared" si="103"/>
        <v>Gesposs Blauw</v>
      </c>
      <c r="B396" t="str">
        <f>'18'!B39</f>
        <v/>
      </c>
      <c r="C396">
        <f>HLOOKUP(A396,spelerslijsten!$B$1:$J$22,21,FALSE)</f>
        <v>0</v>
      </c>
      <c r="D396">
        <f>'18'!V39</f>
        <v>0</v>
      </c>
      <c r="F396" t="str">
        <f t="shared" si="104"/>
        <v>Gesposs Blauw0</v>
      </c>
      <c r="G396">
        <f t="shared" si="105"/>
        <v>0</v>
      </c>
    </row>
    <row r="397" spans="1:7" x14ac:dyDescent="0.3">
      <c r="A397" t="s">
        <v>172</v>
      </c>
      <c r="F397" t="str">
        <f t="shared" si="104"/>
        <v>Wed19</v>
      </c>
      <c r="G397">
        <f t="shared" si="105"/>
        <v>0</v>
      </c>
    </row>
    <row r="398" spans="1:7" x14ac:dyDescent="0.3">
      <c r="A398" t="str">
        <f>Wedstrijden!E24</f>
        <v>SVG Den Bosch</v>
      </c>
      <c r="B398">
        <f>'19'!B14</f>
        <v>3</v>
      </c>
      <c r="C398" t="str">
        <f>HLOOKUP(A398,spelerslijsten!$B$1:$J$22,3,FALSE)</f>
        <v>Bjorn Blom</v>
      </c>
      <c r="D398">
        <f>'19'!V14</f>
        <v>0</v>
      </c>
      <c r="F398" t="str">
        <f t="shared" si="104"/>
        <v>SVG Den Bosch3Bjorn Blom</v>
      </c>
      <c r="G398">
        <f t="shared" si="105"/>
        <v>0</v>
      </c>
    </row>
    <row r="399" spans="1:7" x14ac:dyDescent="0.3">
      <c r="A399" t="str">
        <f>A398</f>
        <v>SVG Den Bosch</v>
      </c>
      <c r="B399">
        <f>'19'!B15</f>
        <v>4</v>
      </c>
      <c r="C399" t="str">
        <f>HLOOKUP(A399,spelerslijsten!$B$1:$J$22,5,FALSE)</f>
        <v>Wesley van Eldijk</v>
      </c>
      <c r="D399">
        <f>'19'!V15</f>
        <v>3</v>
      </c>
      <c r="F399" t="str">
        <f t="shared" si="104"/>
        <v>SVG Den Bosch4Wesley van Eldijk</v>
      </c>
      <c r="G399">
        <f t="shared" si="105"/>
        <v>3</v>
      </c>
    </row>
    <row r="400" spans="1:7" x14ac:dyDescent="0.3">
      <c r="A400" t="str">
        <f t="shared" ref="A400:A407" si="106">A399</f>
        <v>SVG Den Bosch</v>
      </c>
      <c r="B400">
        <f>'19'!B16</f>
        <v>5</v>
      </c>
      <c r="C400" t="str">
        <f>HLOOKUP(A400,spelerslijsten!$B$1:$J$22,7,FALSE)</f>
        <v>Jurriaan Rijnaars</v>
      </c>
      <c r="D400">
        <f>'19'!V16</f>
        <v>0</v>
      </c>
      <c r="F400" t="str">
        <f t="shared" si="104"/>
        <v>SVG Den Bosch5Jurriaan Rijnaars</v>
      </c>
      <c r="G400">
        <f t="shared" si="105"/>
        <v>0</v>
      </c>
    </row>
    <row r="401" spans="1:7" x14ac:dyDescent="0.3">
      <c r="A401" t="str">
        <f t="shared" si="106"/>
        <v>SVG Den Bosch</v>
      </c>
      <c r="B401">
        <f>'19'!B17</f>
        <v>6</v>
      </c>
      <c r="C401" t="str">
        <f>HLOOKUP(A401,spelerslijsten!$B$1:$J$22,9,FALSE)</f>
        <v>Lucas van Osch</v>
      </c>
      <c r="D401">
        <f>'19'!V17</f>
        <v>1</v>
      </c>
      <c r="F401" t="str">
        <f t="shared" si="104"/>
        <v>SVG Den Bosch6Lucas van Osch</v>
      </c>
      <c r="G401">
        <f t="shared" si="105"/>
        <v>1</v>
      </c>
    </row>
    <row r="402" spans="1:7" x14ac:dyDescent="0.3">
      <c r="A402" t="str">
        <f t="shared" si="106"/>
        <v>SVG Den Bosch</v>
      </c>
      <c r="B402">
        <f>'19'!B18</f>
        <v>7</v>
      </c>
      <c r="C402" t="str">
        <f>HLOOKUP(A402,spelerslijsten!$B$1:$J$22,11,FALSE)</f>
        <v>Helmi van Hirtum</v>
      </c>
      <c r="D402">
        <f>'19'!V18</f>
        <v>2</v>
      </c>
      <c r="F402" t="str">
        <f t="shared" si="104"/>
        <v>SVG Den Bosch7Helmi van Hirtum</v>
      </c>
      <c r="G402">
        <f t="shared" si="105"/>
        <v>2</v>
      </c>
    </row>
    <row r="403" spans="1:7" x14ac:dyDescent="0.3">
      <c r="A403" t="str">
        <f t="shared" si="106"/>
        <v>SVG Den Bosch</v>
      </c>
      <c r="B403">
        <f>'19'!B19</f>
        <v>8</v>
      </c>
      <c r="C403" t="str">
        <f>HLOOKUP(A403,spelerslijsten!$B$1:$J$22,13,FALSE)</f>
        <v>Sara van Grinsven</v>
      </c>
      <c r="D403">
        <f>'19'!V19</f>
        <v>0</v>
      </c>
      <c r="F403" t="str">
        <f t="shared" si="104"/>
        <v>SVG Den Bosch8Sara van Grinsven</v>
      </c>
      <c r="G403">
        <f t="shared" si="105"/>
        <v>0</v>
      </c>
    </row>
    <row r="404" spans="1:7" x14ac:dyDescent="0.3">
      <c r="A404" t="str">
        <f t="shared" si="106"/>
        <v>SVG Den Bosch</v>
      </c>
      <c r="B404">
        <f>'19'!B20</f>
        <v>9</v>
      </c>
      <c r="C404" t="str">
        <f>HLOOKUP(A404,spelerslijsten!$B$1:$J$22,15,FALSE)</f>
        <v>Robby van Gruythuysen</v>
      </c>
      <c r="D404">
        <f>'19'!V20</f>
        <v>0</v>
      </c>
      <c r="F404" t="str">
        <f t="shared" si="104"/>
        <v>SVG Den Bosch9Robby van Gruythuysen</v>
      </c>
      <c r="G404">
        <f t="shared" si="105"/>
        <v>0</v>
      </c>
    </row>
    <row r="405" spans="1:7" x14ac:dyDescent="0.3">
      <c r="A405" t="str">
        <f t="shared" si="106"/>
        <v>SVG Den Bosch</v>
      </c>
      <c r="B405">
        <f>'19'!B21</f>
        <v>10</v>
      </c>
      <c r="C405" t="str">
        <f>HLOOKUP(A405,spelerslijsten!$B$1:$J$22,17,FALSE)</f>
        <v>Peter Schwering</v>
      </c>
      <c r="D405">
        <f>'19'!V21</f>
        <v>0</v>
      </c>
      <c r="F405" t="str">
        <f t="shared" si="104"/>
        <v>SVG Den Bosch10Peter Schwering</v>
      </c>
      <c r="G405">
        <f t="shared" si="105"/>
        <v>0</v>
      </c>
    </row>
    <row r="406" spans="1:7" x14ac:dyDescent="0.3">
      <c r="A406" t="str">
        <f t="shared" si="106"/>
        <v>SVG Den Bosch</v>
      </c>
      <c r="B406">
        <f>'19'!B22</f>
        <v>11</v>
      </c>
      <c r="C406" t="str">
        <f>HLOOKUP(A406,spelerslijsten!$B$1:$J$22,19,FALSE)</f>
        <v>Stefan Hermens</v>
      </c>
      <c r="D406">
        <f>'19'!V22</f>
        <v>0</v>
      </c>
      <c r="F406" t="str">
        <f t="shared" si="104"/>
        <v>SVG Den Bosch11Stefan Hermens</v>
      </c>
      <c r="G406">
        <f t="shared" si="105"/>
        <v>0</v>
      </c>
    </row>
    <row r="407" spans="1:7" x14ac:dyDescent="0.3">
      <c r="A407" t="str">
        <f t="shared" si="106"/>
        <v>SVG Den Bosch</v>
      </c>
      <c r="B407" t="str">
        <f>'19'!B23</f>
        <v/>
      </c>
      <c r="C407">
        <f>HLOOKUP(A407,spelerslijsten!$B$1:$J$22,21,FALSE)</f>
        <v>0</v>
      </c>
      <c r="D407">
        <f>'19'!V23</f>
        <v>0</v>
      </c>
      <c r="F407" t="str">
        <f t="shared" si="104"/>
        <v>SVG Den Bosch0</v>
      </c>
      <c r="G407">
        <f t="shared" si="105"/>
        <v>0</v>
      </c>
    </row>
    <row r="408" spans="1:7" x14ac:dyDescent="0.3">
      <c r="F408" t="str">
        <f t="shared" si="104"/>
        <v/>
      </c>
      <c r="G408">
        <f t="shared" si="105"/>
        <v>0</v>
      </c>
    </row>
    <row r="409" spans="1:7" x14ac:dyDescent="0.3">
      <c r="A409" t="str">
        <f>Wedstrijden!I24</f>
        <v>VZ&amp;PC Nautilus 1</v>
      </c>
      <c r="B409">
        <f>'19'!B30</f>
        <v>2</v>
      </c>
      <c r="C409" t="str">
        <f>HLOOKUP(A409,spelerslijsten!$B$1:$J$22,3,FALSE)</f>
        <v>Corne Braken</v>
      </c>
      <c r="D409">
        <f>'19'!V30</f>
        <v>0</v>
      </c>
      <c r="F409" t="str">
        <f t="shared" si="104"/>
        <v>VZ&amp;PC Nautilus 12Corne Braken</v>
      </c>
      <c r="G409">
        <f t="shared" si="105"/>
        <v>0</v>
      </c>
    </row>
    <row r="410" spans="1:7" x14ac:dyDescent="0.3">
      <c r="A410" t="str">
        <f>A409</f>
        <v>VZ&amp;PC Nautilus 1</v>
      </c>
      <c r="B410">
        <f>'19'!B31</f>
        <v>3</v>
      </c>
      <c r="C410" t="str">
        <f>HLOOKUP(A410,spelerslijsten!$B$1:$J$22,5,FALSE)</f>
        <v>Kevin Kanters</v>
      </c>
      <c r="D410">
        <f>'19'!V31</f>
        <v>1</v>
      </c>
      <c r="F410" t="str">
        <f t="shared" si="104"/>
        <v>VZ&amp;PC Nautilus 13Kevin Kanters</v>
      </c>
      <c r="G410">
        <f t="shared" si="105"/>
        <v>1</v>
      </c>
    </row>
    <row r="411" spans="1:7" x14ac:dyDescent="0.3">
      <c r="A411" t="str">
        <f t="shared" ref="A411:A418" si="107">A410</f>
        <v>VZ&amp;PC Nautilus 1</v>
      </c>
      <c r="B411">
        <f>'19'!B32</f>
        <v>4</v>
      </c>
      <c r="C411" t="str">
        <f>HLOOKUP(A411,spelerslijsten!$B$1:$J$22,7,FALSE)</f>
        <v>Monique Schouten</v>
      </c>
      <c r="D411">
        <f>'19'!V32</f>
        <v>0</v>
      </c>
      <c r="F411" t="str">
        <f t="shared" si="104"/>
        <v>VZ&amp;PC Nautilus 14Monique Schouten</v>
      </c>
      <c r="G411">
        <f t="shared" si="105"/>
        <v>0</v>
      </c>
    </row>
    <row r="412" spans="1:7" x14ac:dyDescent="0.3">
      <c r="A412" t="str">
        <f t="shared" si="107"/>
        <v>VZ&amp;PC Nautilus 1</v>
      </c>
      <c r="B412">
        <f>'19'!B33</f>
        <v>5</v>
      </c>
      <c r="C412" t="str">
        <f>HLOOKUP(A412,spelerslijsten!$B$1:$J$22,9,FALSE)</f>
        <v>Miranda van Schaijk</v>
      </c>
      <c r="D412">
        <f>'19'!V33</f>
        <v>0</v>
      </c>
      <c r="F412" t="str">
        <f t="shared" si="104"/>
        <v>VZ&amp;PC Nautilus 15Miranda van Schaijk</v>
      </c>
      <c r="G412">
        <f t="shared" si="105"/>
        <v>0</v>
      </c>
    </row>
    <row r="413" spans="1:7" x14ac:dyDescent="0.3">
      <c r="A413" t="str">
        <f t="shared" si="107"/>
        <v>VZ&amp;PC Nautilus 1</v>
      </c>
      <c r="B413">
        <f>'19'!B34</f>
        <v>6</v>
      </c>
      <c r="C413" t="str">
        <f>HLOOKUP(A413,spelerslijsten!$B$1:$J$22,11,FALSE)</f>
        <v>Jan Zegers</v>
      </c>
      <c r="D413">
        <f>'19'!V34</f>
        <v>0</v>
      </c>
      <c r="F413" t="str">
        <f t="shared" si="104"/>
        <v>VZ&amp;PC Nautilus 16Jan Zegers</v>
      </c>
      <c r="G413">
        <f t="shared" si="105"/>
        <v>0</v>
      </c>
    </row>
    <row r="414" spans="1:7" x14ac:dyDescent="0.3">
      <c r="A414" t="str">
        <f t="shared" si="107"/>
        <v>VZ&amp;PC Nautilus 1</v>
      </c>
      <c r="B414">
        <f>'19'!B35</f>
        <v>9</v>
      </c>
      <c r="C414" t="str">
        <f>HLOOKUP(A414,spelerslijsten!$B$1:$J$22,13,FALSE)</f>
        <v>Christian Gibbels</v>
      </c>
      <c r="D414">
        <f>'19'!V35</f>
        <v>0</v>
      </c>
      <c r="F414" t="str">
        <f t="shared" si="104"/>
        <v>VZ&amp;PC Nautilus 19Christian Gibbels</v>
      </c>
      <c r="G414">
        <f t="shared" si="105"/>
        <v>0</v>
      </c>
    </row>
    <row r="415" spans="1:7" x14ac:dyDescent="0.3">
      <c r="A415" t="str">
        <f t="shared" si="107"/>
        <v>VZ&amp;PC Nautilus 1</v>
      </c>
      <c r="B415">
        <f>'19'!B36</f>
        <v>10</v>
      </c>
      <c r="C415" t="str">
        <f>HLOOKUP(A415,spelerslijsten!$B$1:$J$22,15,FALSE)</f>
        <v>Stefan van der Wielen</v>
      </c>
      <c r="D415">
        <f>'19'!V36</f>
        <v>0</v>
      </c>
      <c r="F415" t="str">
        <f t="shared" si="104"/>
        <v>VZ&amp;PC Nautilus 110Stefan van der Wielen</v>
      </c>
      <c r="G415">
        <f t="shared" si="105"/>
        <v>0</v>
      </c>
    </row>
    <row r="416" spans="1:7" x14ac:dyDescent="0.3">
      <c r="A416" t="str">
        <f t="shared" si="107"/>
        <v>VZ&amp;PC Nautilus 1</v>
      </c>
      <c r="B416" t="str">
        <f>'19'!B37</f>
        <v/>
      </c>
      <c r="C416">
        <f>HLOOKUP(A416,spelerslijsten!$B$1:$J$22,17,FALSE)</f>
        <v>0</v>
      </c>
      <c r="D416">
        <f>'19'!V37</f>
        <v>0</v>
      </c>
      <c r="F416" t="str">
        <f t="shared" si="104"/>
        <v>VZ&amp;PC Nautilus 10</v>
      </c>
      <c r="G416">
        <f t="shared" si="105"/>
        <v>0</v>
      </c>
    </row>
    <row r="417" spans="1:7" x14ac:dyDescent="0.3">
      <c r="A417" t="str">
        <f t="shared" si="107"/>
        <v>VZ&amp;PC Nautilus 1</v>
      </c>
      <c r="B417" t="str">
        <f>'19'!B38</f>
        <v/>
      </c>
      <c r="C417">
        <f>HLOOKUP(A417,spelerslijsten!$B$1:$J$22,19,FALSE)</f>
        <v>0</v>
      </c>
      <c r="D417">
        <f>'19'!V38</f>
        <v>0</v>
      </c>
      <c r="F417" t="str">
        <f t="shared" si="104"/>
        <v>VZ&amp;PC Nautilus 10</v>
      </c>
      <c r="G417">
        <f t="shared" si="105"/>
        <v>0</v>
      </c>
    </row>
    <row r="418" spans="1:7" x14ac:dyDescent="0.3">
      <c r="A418" t="str">
        <f t="shared" si="107"/>
        <v>VZ&amp;PC Nautilus 1</v>
      </c>
      <c r="B418" t="str">
        <f>'19'!B39</f>
        <v/>
      </c>
      <c r="C418">
        <f>HLOOKUP(A418,spelerslijsten!$B$1:$J$22,21,FALSE)</f>
        <v>0</v>
      </c>
      <c r="D418">
        <f>'19'!V39</f>
        <v>0</v>
      </c>
      <c r="F418" t="str">
        <f t="shared" si="104"/>
        <v>VZ&amp;PC Nautilus 10</v>
      </c>
      <c r="G418">
        <f t="shared" si="105"/>
        <v>0</v>
      </c>
    </row>
    <row r="419" spans="1:7" x14ac:dyDescent="0.3">
      <c r="A419" t="s">
        <v>173</v>
      </c>
      <c r="F419" t="str">
        <f t="shared" si="104"/>
        <v>Wed20</v>
      </c>
      <c r="G419">
        <f t="shared" si="105"/>
        <v>0</v>
      </c>
    </row>
    <row r="420" spans="1:7" x14ac:dyDescent="0.3">
      <c r="A420" t="str">
        <f>Wedstrijden!E25</f>
        <v>Gesposs Geel</v>
      </c>
      <c r="B420">
        <f>'20'!B14</f>
        <v>2</v>
      </c>
      <c r="C420" t="str">
        <f>HLOOKUP(A420,spelerslijsten!$B$1:$J$22,3,FALSE)</f>
        <v>Jasper van Houtum</v>
      </c>
      <c r="D420">
        <f>'20'!V14</f>
        <v>0</v>
      </c>
      <c r="F420" t="str">
        <f t="shared" si="104"/>
        <v>Gesposs Geel2Jasper van Houtum</v>
      </c>
      <c r="G420">
        <f t="shared" si="105"/>
        <v>0</v>
      </c>
    </row>
    <row r="421" spans="1:7" x14ac:dyDescent="0.3">
      <c r="A421" t="str">
        <f>A420</f>
        <v>Gesposs Geel</v>
      </c>
      <c r="B421">
        <f>'20'!B15</f>
        <v>3</v>
      </c>
      <c r="C421" t="str">
        <f>HLOOKUP(A421,spelerslijsten!$B$1:$J$22,5,FALSE)</f>
        <v>Arjan Dulos</v>
      </c>
      <c r="D421">
        <f>'20'!V15</f>
        <v>4</v>
      </c>
      <c r="F421" t="str">
        <f t="shared" si="104"/>
        <v>Gesposs Geel3Arjan Dulos</v>
      </c>
      <c r="G421">
        <f t="shared" si="105"/>
        <v>4</v>
      </c>
    </row>
    <row r="422" spans="1:7" x14ac:dyDescent="0.3">
      <c r="A422" t="str">
        <f t="shared" ref="A422:A429" si="108">A421</f>
        <v>Gesposs Geel</v>
      </c>
      <c r="B422">
        <f>'20'!B16</f>
        <v>4</v>
      </c>
      <c r="C422" t="str">
        <f>HLOOKUP(A422,spelerslijsten!$B$1:$J$22,7,FALSE)</f>
        <v>Kim Wolf</v>
      </c>
      <c r="D422">
        <f>'20'!V16</f>
        <v>0</v>
      </c>
      <c r="F422" t="str">
        <f t="shared" si="104"/>
        <v>Gesposs Geel4Kim Wolf</v>
      </c>
      <c r="G422">
        <f t="shared" si="105"/>
        <v>0</v>
      </c>
    </row>
    <row r="423" spans="1:7" x14ac:dyDescent="0.3">
      <c r="A423" t="str">
        <f t="shared" si="108"/>
        <v>Gesposs Geel</v>
      </c>
      <c r="B423">
        <f>'20'!B17</f>
        <v>5</v>
      </c>
      <c r="C423" t="str">
        <f>HLOOKUP(A423,spelerslijsten!$B$1:$J$22,9,FALSE)</f>
        <v>Kevin van Boekel</v>
      </c>
      <c r="D423">
        <f>'20'!V17</f>
        <v>1</v>
      </c>
      <c r="F423" t="str">
        <f t="shared" si="104"/>
        <v>Gesposs Geel5Kevin van Boekel</v>
      </c>
      <c r="G423">
        <f t="shared" si="105"/>
        <v>1</v>
      </c>
    </row>
    <row r="424" spans="1:7" x14ac:dyDescent="0.3">
      <c r="A424" t="str">
        <f t="shared" si="108"/>
        <v>Gesposs Geel</v>
      </c>
      <c r="B424">
        <f>'20'!B18</f>
        <v>6</v>
      </c>
      <c r="C424" t="str">
        <f>HLOOKUP(A424,spelerslijsten!$B$1:$J$22,11,FALSE)</f>
        <v>Kevin van Kollenburg</v>
      </c>
      <c r="D424">
        <f>'20'!V18</f>
        <v>0</v>
      </c>
      <c r="F424" t="str">
        <f t="shared" si="104"/>
        <v>Gesposs Geel6Kevin van Kollenburg</v>
      </c>
      <c r="G424">
        <f t="shared" si="105"/>
        <v>0</v>
      </c>
    </row>
    <row r="425" spans="1:7" x14ac:dyDescent="0.3">
      <c r="A425" t="str">
        <f t="shared" si="108"/>
        <v>Gesposs Geel</v>
      </c>
      <c r="B425">
        <f>'20'!B19</f>
        <v>7</v>
      </c>
      <c r="C425" t="str">
        <f>HLOOKUP(A425,spelerslijsten!$B$1:$J$22,13,FALSE)</f>
        <v>Tim van den Akker</v>
      </c>
      <c r="D425">
        <f>'20'!V19</f>
        <v>0</v>
      </c>
      <c r="F425" t="str">
        <f t="shared" si="104"/>
        <v>Gesposs Geel7Tim van den Akker</v>
      </c>
      <c r="G425">
        <f t="shared" si="105"/>
        <v>0</v>
      </c>
    </row>
    <row r="426" spans="1:7" x14ac:dyDescent="0.3">
      <c r="A426" t="str">
        <f t="shared" si="108"/>
        <v>Gesposs Geel</v>
      </c>
      <c r="B426">
        <f>'20'!B20</f>
        <v>8</v>
      </c>
      <c r="C426" t="str">
        <f>HLOOKUP(A426,spelerslijsten!$B$1:$J$22,15,FALSE)</f>
        <v>Marloes Beks-Geurts</v>
      </c>
      <c r="D426">
        <f>'20'!V20</f>
        <v>0</v>
      </c>
      <c r="F426" t="str">
        <f t="shared" si="104"/>
        <v>Gesposs Geel8Marloes Beks-Geurts</v>
      </c>
      <c r="G426">
        <f t="shared" si="105"/>
        <v>0</v>
      </c>
    </row>
    <row r="427" spans="1:7" x14ac:dyDescent="0.3">
      <c r="A427" t="str">
        <f t="shared" si="108"/>
        <v>Gesposs Geel</v>
      </c>
      <c r="B427">
        <f>'20'!B21</f>
        <v>9</v>
      </c>
      <c r="C427" t="str">
        <f>HLOOKUP(A427,spelerslijsten!$B$1:$J$22,17,FALSE)</f>
        <v>Lincy Ruijs</v>
      </c>
      <c r="D427">
        <f>'20'!V21</f>
        <v>0</v>
      </c>
      <c r="F427" t="str">
        <f t="shared" si="104"/>
        <v>Gesposs Geel9Lincy Ruijs</v>
      </c>
      <c r="G427">
        <f t="shared" si="105"/>
        <v>0</v>
      </c>
    </row>
    <row r="428" spans="1:7" x14ac:dyDescent="0.3">
      <c r="A428" t="str">
        <f t="shared" si="108"/>
        <v>Gesposs Geel</v>
      </c>
      <c r="B428">
        <f>'20'!B22</f>
        <v>10</v>
      </c>
      <c r="C428" t="str">
        <f>HLOOKUP(A428,spelerslijsten!$B$1:$J$22,19,FALSE)</f>
        <v>Eef de Ruijter</v>
      </c>
      <c r="D428">
        <f>'20'!V22</f>
        <v>0</v>
      </c>
      <c r="F428" t="str">
        <f t="shared" si="104"/>
        <v>Gesposs Geel10Eef de Ruijter</v>
      </c>
      <c r="G428">
        <f t="shared" si="105"/>
        <v>0</v>
      </c>
    </row>
    <row r="429" spans="1:7" x14ac:dyDescent="0.3">
      <c r="A429" t="str">
        <f t="shared" si="108"/>
        <v>Gesposs Geel</v>
      </c>
      <c r="B429">
        <f>'20'!B23</f>
        <v>11</v>
      </c>
      <c r="C429" t="str">
        <f>HLOOKUP(A429,spelerslijsten!$B$1:$J$22,21,FALSE)</f>
        <v>Finn van der Krift</v>
      </c>
      <c r="D429">
        <f>'20'!V23</f>
        <v>0</v>
      </c>
      <c r="F429" t="str">
        <f t="shared" si="104"/>
        <v>Gesposs Geel11Finn van der Krift</v>
      </c>
      <c r="G429">
        <f t="shared" si="105"/>
        <v>0</v>
      </c>
    </row>
    <row r="430" spans="1:7" x14ac:dyDescent="0.3">
      <c r="F430" t="str">
        <f t="shared" si="104"/>
        <v/>
      </c>
      <c r="G430">
        <f t="shared" si="105"/>
        <v>0</v>
      </c>
    </row>
    <row r="431" spans="1:7" x14ac:dyDescent="0.3">
      <c r="A431" t="str">
        <f>Wedstrijden!I25</f>
        <v>De Tubanten 2</v>
      </c>
      <c r="B431">
        <f>'20'!B30</f>
        <v>2</v>
      </c>
      <c r="C431" t="str">
        <f>HLOOKUP(A431,spelerslijsten!$B$1:$J$22,3,FALSE)</f>
        <v>Yevgeni Petrov</v>
      </c>
      <c r="D431">
        <f>'20'!V30</f>
        <v>0</v>
      </c>
      <c r="F431" t="str">
        <f t="shared" si="104"/>
        <v>De Tubanten 22Yevgeni Petrov</v>
      </c>
      <c r="G431">
        <f t="shared" si="105"/>
        <v>0</v>
      </c>
    </row>
    <row r="432" spans="1:7" x14ac:dyDescent="0.3">
      <c r="A432" t="str">
        <f>A431</f>
        <v>De Tubanten 2</v>
      </c>
      <c r="B432">
        <f>'20'!B31</f>
        <v>3</v>
      </c>
      <c r="C432" t="str">
        <f>HLOOKUP(A432,spelerslijsten!$B$1:$J$22,5,FALSE)</f>
        <v>Monique Bijker</v>
      </c>
      <c r="D432">
        <f>'20'!V31</f>
        <v>0</v>
      </c>
      <c r="F432" t="str">
        <f t="shared" si="104"/>
        <v>De Tubanten 23Monique Bijker</v>
      </c>
      <c r="G432">
        <f t="shared" si="105"/>
        <v>0</v>
      </c>
    </row>
    <row r="433" spans="1:7" x14ac:dyDescent="0.3">
      <c r="A433" t="str">
        <f t="shared" ref="A433:A440" si="109">A432</f>
        <v>De Tubanten 2</v>
      </c>
      <c r="B433">
        <f>'20'!B32</f>
        <v>4</v>
      </c>
      <c r="C433" t="str">
        <f>HLOOKUP(A433,spelerslijsten!$B$1:$J$22,7,FALSE)</f>
        <v>Leon Bijker</v>
      </c>
      <c r="D433">
        <f>'20'!V32</f>
        <v>1</v>
      </c>
      <c r="F433" t="str">
        <f t="shared" si="104"/>
        <v>De Tubanten 24Leon Bijker</v>
      </c>
      <c r="G433">
        <f t="shared" si="105"/>
        <v>1</v>
      </c>
    </row>
    <row r="434" spans="1:7" x14ac:dyDescent="0.3">
      <c r="A434" t="str">
        <f t="shared" si="109"/>
        <v>De Tubanten 2</v>
      </c>
      <c r="B434">
        <f>'20'!B33</f>
        <v>5</v>
      </c>
      <c r="C434" t="str">
        <f>HLOOKUP(A434,spelerslijsten!$B$1:$J$22,9,FALSE)</f>
        <v>Noah Hazelhoff</v>
      </c>
      <c r="D434">
        <f>'20'!V33</f>
        <v>3</v>
      </c>
      <c r="F434" t="str">
        <f t="shared" si="104"/>
        <v>De Tubanten 25Noah Hazelhoff</v>
      </c>
      <c r="G434">
        <f t="shared" si="105"/>
        <v>3</v>
      </c>
    </row>
    <row r="435" spans="1:7" x14ac:dyDescent="0.3">
      <c r="A435" t="str">
        <f t="shared" si="109"/>
        <v>De Tubanten 2</v>
      </c>
      <c r="B435">
        <f>'20'!B34</f>
        <v>6</v>
      </c>
      <c r="C435" t="str">
        <f>HLOOKUP(A435,spelerslijsten!$B$1:$J$22,11,FALSE)</f>
        <v>Joran van Achteren</v>
      </c>
      <c r="D435">
        <f>'20'!V34</f>
        <v>0</v>
      </c>
      <c r="F435" t="str">
        <f t="shared" si="104"/>
        <v>De Tubanten 26Joran van Achteren</v>
      </c>
      <c r="G435">
        <f t="shared" si="105"/>
        <v>0</v>
      </c>
    </row>
    <row r="436" spans="1:7" x14ac:dyDescent="0.3">
      <c r="A436" t="str">
        <f t="shared" si="109"/>
        <v>De Tubanten 2</v>
      </c>
      <c r="B436">
        <f>'20'!B35</f>
        <v>7</v>
      </c>
      <c r="C436" t="str">
        <f>HLOOKUP(A436,spelerslijsten!$B$1:$J$22,13,FALSE)</f>
        <v>Maiker Arends</v>
      </c>
      <c r="D436">
        <f>'20'!V35</f>
        <v>0</v>
      </c>
      <c r="F436" t="str">
        <f t="shared" si="104"/>
        <v>De Tubanten 27Maiker Arends</v>
      </c>
      <c r="G436">
        <f t="shared" si="105"/>
        <v>0</v>
      </c>
    </row>
    <row r="437" spans="1:7" x14ac:dyDescent="0.3">
      <c r="A437" t="str">
        <f t="shared" si="109"/>
        <v>De Tubanten 2</v>
      </c>
      <c r="B437">
        <f>'20'!B36</f>
        <v>9</v>
      </c>
      <c r="C437" t="str">
        <f>HLOOKUP(A437,spelerslijsten!$B$1:$J$22,15,FALSE)</f>
        <v>Wouter van Schip</v>
      </c>
      <c r="D437">
        <f>'20'!V36</f>
        <v>0</v>
      </c>
      <c r="F437" t="str">
        <f t="shared" si="104"/>
        <v>De Tubanten 29Wouter van Schip</v>
      </c>
      <c r="G437">
        <f t="shared" si="105"/>
        <v>0</v>
      </c>
    </row>
    <row r="438" spans="1:7" x14ac:dyDescent="0.3">
      <c r="A438" t="str">
        <f t="shared" si="109"/>
        <v>De Tubanten 2</v>
      </c>
      <c r="B438">
        <f>'20'!B37</f>
        <v>10</v>
      </c>
      <c r="C438" t="str">
        <f>HLOOKUP(A438,spelerslijsten!$B$1:$J$22,17,FALSE)</f>
        <v>Bianca Verbeek</v>
      </c>
      <c r="D438">
        <f>'20'!V37</f>
        <v>0</v>
      </c>
      <c r="F438" t="str">
        <f t="shared" si="104"/>
        <v>De Tubanten 210Bianca Verbeek</v>
      </c>
      <c r="G438">
        <f t="shared" si="105"/>
        <v>0</v>
      </c>
    </row>
    <row r="439" spans="1:7" x14ac:dyDescent="0.3">
      <c r="A439" t="str">
        <f t="shared" si="109"/>
        <v>De Tubanten 2</v>
      </c>
      <c r="B439" t="str">
        <f>'20'!B38</f>
        <v/>
      </c>
      <c r="C439">
        <f>HLOOKUP(A439,spelerslijsten!$B$1:$J$22,19,FALSE)</f>
        <v>0</v>
      </c>
      <c r="D439">
        <f>'20'!V38</f>
        <v>0</v>
      </c>
      <c r="F439" t="str">
        <f t="shared" si="104"/>
        <v>De Tubanten 20</v>
      </c>
      <c r="G439">
        <f t="shared" si="105"/>
        <v>0</v>
      </c>
    </row>
    <row r="440" spans="1:7" x14ac:dyDescent="0.3">
      <c r="A440" t="str">
        <f t="shared" si="109"/>
        <v>De Tubanten 2</v>
      </c>
      <c r="B440" t="str">
        <f>'20'!B39</f>
        <v/>
      </c>
      <c r="C440">
        <f>HLOOKUP(A440,spelerslijsten!$B$1:$J$22,21,FALSE)</f>
        <v>0</v>
      </c>
      <c r="D440">
        <f>'20'!V39</f>
        <v>0</v>
      </c>
      <c r="F440" t="str">
        <f t="shared" si="104"/>
        <v>De Tubanten 20</v>
      </c>
      <c r="G440">
        <f t="shared" si="105"/>
        <v>0</v>
      </c>
    </row>
    <row r="441" spans="1:7" x14ac:dyDescent="0.3">
      <c r="A441" t="s">
        <v>180</v>
      </c>
      <c r="F441" t="str">
        <f t="shared" ref="F441:F462" si="110">CONCATENATE(A441&amp;B441&amp;C441)</f>
        <v>Wed21</v>
      </c>
      <c r="G441">
        <f t="shared" ref="G441:G462" si="111">D441</f>
        <v>0</v>
      </c>
    </row>
    <row r="442" spans="1:7" x14ac:dyDescent="0.3">
      <c r="A442" t="str">
        <f>Wedstrijden!E26</f>
        <v>Aqua Novio</v>
      </c>
      <c r="B442">
        <f>'21'!B14</f>
        <v>2</v>
      </c>
      <c r="C442" t="str">
        <f>HLOOKUP(A442,spelerslijsten!$B$1:$J$22,3,FALSE)</f>
        <v>Jop van Weel</v>
      </c>
      <c r="D442">
        <f>'21'!V14</f>
        <v>0</v>
      </c>
      <c r="F442" t="str">
        <f t="shared" si="110"/>
        <v>Aqua Novio2Jop van Weel</v>
      </c>
      <c r="G442">
        <f t="shared" si="111"/>
        <v>0</v>
      </c>
    </row>
    <row r="443" spans="1:7" x14ac:dyDescent="0.3">
      <c r="A443" t="str">
        <f>A442</f>
        <v>Aqua Novio</v>
      </c>
      <c r="B443">
        <f>'21'!B15</f>
        <v>3</v>
      </c>
      <c r="C443" t="str">
        <f>HLOOKUP(A443,spelerslijsten!$B$1:$J$22,5,FALSE)</f>
        <v>Collin Bijnen</v>
      </c>
      <c r="D443">
        <f>'21'!V15</f>
        <v>0</v>
      </c>
      <c r="F443" t="str">
        <f t="shared" si="110"/>
        <v>Aqua Novio3Collin Bijnen</v>
      </c>
      <c r="G443">
        <f t="shared" si="111"/>
        <v>0</v>
      </c>
    </row>
    <row r="444" spans="1:7" x14ac:dyDescent="0.3">
      <c r="A444" t="str">
        <f t="shared" ref="A444:A451" si="112">A443</f>
        <v>Aqua Novio</v>
      </c>
      <c r="B444">
        <f>'21'!B16</f>
        <v>4</v>
      </c>
      <c r="C444" t="str">
        <f>HLOOKUP(A444,spelerslijsten!$B$1:$J$22,7,FALSE)</f>
        <v>Lorenz Gerritz</v>
      </c>
      <c r="D444">
        <f>'21'!V16</f>
        <v>0</v>
      </c>
      <c r="F444" t="str">
        <f t="shared" si="110"/>
        <v>Aqua Novio4Lorenz Gerritz</v>
      </c>
      <c r="G444">
        <f t="shared" si="111"/>
        <v>0</v>
      </c>
    </row>
    <row r="445" spans="1:7" x14ac:dyDescent="0.3">
      <c r="A445" t="str">
        <f t="shared" si="112"/>
        <v>Aqua Novio</v>
      </c>
      <c r="B445">
        <f>'21'!B17</f>
        <v>5</v>
      </c>
      <c r="C445" t="str">
        <f>HLOOKUP(A445,spelerslijsten!$B$1:$J$22,9,FALSE)</f>
        <v>Maritz</v>
      </c>
      <c r="D445">
        <f>'21'!V17</f>
        <v>2</v>
      </c>
      <c r="F445" t="str">
        <f t="shared" si="110"/>
        <v>Aqua Novio5Maritz</v>
      </c>
      <c r="G445">
        <f t="shared" si="111"/>
        <v>2</v>
      </c>
    </row>
    <row r="446" spans="1:7" x14ac:dyDescent="0.3">
      <c r="A446" t="str">
        <f t="shared" si="112"/>
        <v>Aqua Novio</v>
      </c>
      <c r="B446">
        <f>'21'!B18</f>
        <v>7</v>
      </c>
      <c r="C446" t="str">
        <f>HLOOKUP(A446,spelerslijsten!$B$1:$J$22,11,FALSE)</f>
        <v>Doan Tran Thi Tuc</v>
      </c>
      <c r="D446">
        <f>'21'!V18</f>
        <v>0</v>
      </c>
      <c r="F446" t="str">
        <f t="shared" si="110"/>
        <v>Aqua Novio7Doan Tran Thi Tuc</v>
      </c>
      <c r="G446">
        <f t="shared" si="111"/>
        <v>0</v>
      </c>
    </row>
    <row r="447" spans="1:7" x14ac:dyDescent="0.3">
      <c r="A447" t="str">
        <f t="shared" si="112"/>
        <v>Aqua Novio</v>
      </c>
      <c r="B447">
        <f>'21'!B19</f>
        <v>8</v>
      </c>
      <c r="C447" t="str">
        <f>HLOOKUP(A447,spelerslijsten!$B$1:$J$22,13,FALSE)</f>
        <v>Lisa</v>
      </c>
      <c r="D447">
        <f>'21'!V19</f>
        <v>0</v>
      </c>
      <c r="F447" t="str">
        <f t="shared" si="110"/>
        <v>Aqua Novio8Lisa</v>
      </c>
      <c r="G447">
        <f t="shared" si="111"/>
        <v>0</v>
      </c>
    </row>
    <row r="448" spans="1:7" x14ac:dyDescent="0.3">
      <c r="A448" t="str">
        <f t="shared" si="112"/>
        <v>Aqua Novio</v>
      </c>
      <c r="B448">
        <f>'21'!B20</f>
        <v>9</v>
      </c>
      <c r="C448" t="str">
        <f>HLOOKUP(A448,spelerslijsten!$B$1:$J$22,15,FALSE)</f>
        <v>Mo</v>
      </c>
      <c r="D448">
        <f>'21'!V20</f>
        <v>0</v>
      </c>
      <c r="F448" t="str">
        <f t="shared" si="110"/>
        <v>Aqua Novio9Mo</v>
      </c>
      <c r="G448">
        <f t="shared" si="111"/>
        <v>0</v>
      </c>
    </row>
    <row r="449" spans="1:7" x14ac:dyDescent="0.3">
      <c r="A449" t="str">
        <f t="shared" si="112"/>
        <v>Aqua Novio</v>
      </c>
      <c r="B449">
        <f>'21'!B21</f>
        <v>12</v>
      </c>
      <c r="C449" t="str">
        <f>HLOOKUP(A449,spelerslijsten!$B$1:$J$22,17,FALSE)</f>
        <v>Siemen Pouwels</v>
      </c>
      <c r="D449">
        <f>'21'!V21</f>
        <v>1</v>
      </c>
      <c r="F449" t="str">
        <f t="shared" si="110"/>
        <v>Aqua Novio12Siemen Pouwels</v>
      </c>
      <c r="G449">
        <f t="shared" si="111"/>
        <v>1</v>
      </c>
    </row>
    <row r="450" spans="1:7" x14ac:dyDescent="0.3">
      <c r="A450" t="str">
        <f t="shared" si="112"/>
        <v>Aqua Novio</v>
      </c>
      <c r="B450">
        <f>'21'!B22</f>
        <v>13</v>
      </c>
      <c r="C450" t="str">
        <f>HLOOKUP(A450,spelerslijsten!$B$1:$J$22,19,FALSE)</f>
        <v>Mark van der Heijden (leen)</v>
      </c>
      <c r="D450">
        <f>'21'!V22</f>
        <v>0</v>
      </c>
      <c r="F450" t="str">
        <f t="shared" si="110"/>
        <v>Aqua Novio13Mark van der Heijden (leen)</v>
      </c>
      <c r="G450">
        <f t="shared" si="111"/>
        <v>0</v>
      </c>
    </row>
    <row r="451" spans="1:7" x14ac:dyDescent="0.3">
      <c r="A451" t="str">
        <f t="shared" si="112"/>
        <v>Aqua Novio</v>
      </c>
      <c r="B451" t="str">
        <f>'21'!B23</f>
        <v/>
      </c>
      <c r="C451">
        <f>HLOOKUP(A451,spelerslijsten!$B$1:$J$22,21,FALSE)</f>
        <v>0</v>
      </c>
      <c r="D451">
        <f>'21'!V23</f>
        <v>0</v>
      </c>
      <c r="F451" t="str">
        <f t="shared" si="110"/>
        <v>Aqua Novio0</v>
      </c>
      <c r="G451">
        <f t="shared" si="111"/>
        <v>0</v>
      </c>
    </row>
    <row r="452" spans="1:7" x14ac:dyDescent="0.3">
      <c r="F452" t="str">
        <f t="shared" si="110"/>
        <v/>
      </c>
      <c r="G452">
        <f t="shared" si="111"/>
        <v>0</v>
      </c>
    </row>
    <row r="453" spans="1:7" x14ac:dyDescent="0.3">
      <c r="A453" t="str">
        <f>Wedstrijden!I26</f>
        <v>VZ&amp;PC Nautilus 2</v>
      </c>
      <c r="B453">
        <f>'21'!B30</f>
        <v>2</v>
      </c>
      <c r="C453" t="str">
        <f>HLOOKUP(A453,spelerslijsten!$B$1:$J$22,3,FALSE)</f>
        <v>Willy van Grunsven</v>
      </c>
      <c r="D453">
        <f>'21'!V30</f>
        <v>0</v>
      </c>
      <c r="F453" t="str">
        <f t="shared" si="110"/>
        <v>VZ&amp;PC Nautilus 22Willy van Grunsven</v>
      </c>
      <c r="G453">
        <f t="shared" si="111"/>
        <v>0</v>
      </c>
    </row>
    <row r="454" spans="1:7" x14ac:dyDescent="0.3">
      <c r="A454" t="str">
        <f>A453</f>
        <v>VZ&amp;PC Nautilus 2</v>
      </c>
      <c r="B454">
        <f>'21'!B31</f>
        <v>3</v>
      </c>
      <c r="C454" t="str">
        <f>HLOOKUP(A454,spelerslijsten!$B$1:$J$22,5,FALSE)</f>
        <v>Manuel Bastiaans</v>
      </c>
      <c r="D454">
        <f>'21'!V31</f>
        <v>1</v>
      </c>
      <c r="F454" t="str">
        <f t="shared" si="110"/>
        <v>VZ&amp;PC Nautilus 23Manuel Bastiaans</v>
      </c>
      <c r="G454">
        <f t="shared" si="111"/>
        <v>1</v>
      </c>
    </row>
    <row r="455" spans="1:7" x14ac:dyDescent="0.3">
      <c r="A455" t="str">
        <f t="shared" ref="A455:A462" si="113">A454</f>
        <v>VZ&amp;PC Nautilus 2</v>
      </c>
      <c r="B455">
        <f>'21'!B32</f>
        <v>4</v>
      </c>
      <c r="C455" t="str">
        <f>HLOOKUP(A455,spelerslijsten!$B$1:$J$22,7,FALSE)</f>
        <v>Marga Schouten</v>
      </c>
      <c r="D455">
        <f>'21'!V32</f>
        <v>1</v>
      </c>
      <c r="F455" t="str">
        <f t="shared" si="110"/>
        <v>VZ&amp;PC Nautilus 24Marga Schouten</v>
      </c>
      <c r="G455">
        <f t="shared" si="111"/>
        <v>1</v>
      </c>
    </row>
    <row r="456" spans="1:7" x14ac:dyDescent="0.3">
      <c r="A456" t="str">
        <f t="shared" si="113"/>
        <v>VZ&amp;PC Nautilus 2</v>
      </c>
      <c r="B456">
        <f>'21'!B33</f>
        <v>6</v>
      </c>
      <c r="C456" t="str">
        <f>HLOOKUP(A456,spelerslijsten!$B$1:$J$22,9,FALSE)</f>
        <v>Anja Braken</v>
      </c>
      <c r="D456">
        <f>'21'!V33</f>
        <v>0</v>
      </c>
      <c r="F456" t="str">
        <f t="shared" si="110"/>
        <v>VZ&amp;PC Nautilus 26Anja Braken</v>
      </c>
      <c r="G456">
        <f t="shared" si="111"/>
        <v>0</v>
      </c>
    </row>
    <row r="457" spans="1:7" x14ac:dyDescent="0.3">
      <c r="A457" t="str">
        <f t="shared" si="113"/>
        <v>VZ&amp;PC Nautilus 2</v>
      </c>
      <c r="B457">
        <f>'21'!B34</f>
        <v>7</v>
      </c>
      <c r="C457" t="str">
        <f>HLOOKUP(A457,spelerslijsten!$B$1:$J$22,11,FALSE)</f>
        <v>Mieke van Gerwen</v>
      </c>
      <c r="D457">
        <f>'21'!V34</f>
        <v>0</v>
      </c>
      <c r="F457" t="str">
        <f t="shared" si="110"/>
        <v>VZ&amp;PC Nautilus 27Mieke van Gerwen</v>
      </c>
      <c r="G457">
        <f t="shared" si="111"/>
        <v>0</v>
      </c>
    </row>
    <row r="458" spans="1:7" x14ac:dyDescent="0.3">
      <c r="A458" t="str">
        <f t="shared" si="113"/>
        <v>VZ&amp;PC Nautilus 2</v>
      </c>
      <c r="B458">
        <f>'21'!B35</f>
        <v>8</v>
      </c>
      <c r="C458" t="str">
        <f>HLOOKUP(A458,spelerslijsten!$B$1:$J$22,13,FALSE)</f>
        <v>Susan van Wanrooy</v>
      </c>
      <c r="D458">
        <f>'21'!V35</f>
        <v>1</v>
      </c>
      <c r="F458" t="str">
        <f t="shared" si="110"/>
        <v>VZ&amp;PC Nautilus 28Susan van Wanrooy</v>
      </c>
      <c r="G458">
        <f t="shared" si="111"/>
        <v>1</v>
      </c>
    </row>
    <row r="459" spans="1:7" x14ac:dyDescent="0.3">
      <c r="A459" t="str">
        <f t="shared" si="113"/>
        <v>VZ&amp;PC Nautilus 2</v>
      </c>
      <c r="B459">
        <f>'21'!B36</f>
        <v>10</v>
      </c>
      <c r="C459" t="str">
        <f>HLOOKUP(A459,spelerslijsten!$B$1:$J$22,15,FALSE)</f>
        <v>Jeffrey Danen</v>
      </c>
      <c r="D459">
        <f>'21'!V36</f>
        <v>5</v>
      </c>
      <c r="F459" t="str">
        <f t="shared" si="110"/>
        <v>VZ&amp;PC Nautilus 210Jeffrey Danen</v>
      </c>
      <c r="G459">
        <f t="shared" si="111"/>
        <v>5</v>
      </c>
    </row>
    <row r="460" spans="1:7" x14ac:dyDescent="0.3">
      <c r="A460" t="str">
        <f t="shared" si="113"/>
        <v>VZ&amp;PC Nautilus 2</v>
      </c>
      <c r="B460" t="str">
        <f>'21'!B37</f>
        <v/>
      </c>
      <c r="C460">
        <f>HLOOKUP(A460,spelerslijsten!$B$1:$J$22,17,FALSE)</f>
        <v>0</v>
      </c>
      <c r="D460">
        <f>'21'!V37</f>
        <v>0</v>
      </c>
      <c r="F460" t="str">
        <f t="shared" si="110"/>
        <v>VZ&amp;PC Nautilus 20</v>
      </c>
      <c r="G460">
        <f t="shared" si="111"/>
        <v>0</v>
      </c>
    </row>
    <row r="461" spans="1:7" x14ac:dyDescent="0.3">
      <c r="A461" t="str">
        <f t="shared" si="113"/>
        <v>VZ&amp;PC Nautilus 2</v>
      </c>
      <c r="B461" t="str">
        <f>'21'!B38</f>
        <v/>
      </c>
      <c r="C461">
        <f>HLOOKUP(A461,spelerslijsten!$B$1:$J$22,19,FALSE)</f>
        <v>0</v>
      </c>
      <c r="D461">
        <f>'21'!V38</f>
        <v>0</v>
      </c>
      <c r="F461" t="str">
        <f t="shared" si="110"/>
        <v>VZ&amp;PC Nautilus 20</v>
      </c>
      <c r="G461">
        <f t="shared" si="111"/>
        <v>0</v>
      </c>
    </row>
    <row r="462" spans="1:7" x14ac:dyDescent="0.3">
      <c r="A462" t="str">
        <f t="shared" si="113"/>
        <v>VZ&amp;PC Nautilus 2</v>
      </c>
      <c r="B462" t="str">
        <f>'21'!B39</f>
        <v/>
      </c>
      <c r="C462">
        <f>HLOOKUP(A462,spelerslijsten!$B$1:$J$22,21,FALSE)</f>
        <v>0</v>
      </c>
      <c r="D462">
        <f>'21'!V39</f>
        <v>0</v>
      </c>
      <c r="F462" t="str">
        <f t="shared" si="110"/>
        <v>VZ&amp;PC Nautilus 20</v>
      </c>
      <c r="G462">
        <f t="shared" si="111"/>
        <v>0</v>
      </c>
    </row>
  </sheetData>
  <sheetProtection sheet="1" objects="1" scenarios="1"/>
  <pageMargins left="0.7" right="0.7" top="0.75" bottom="0.75" header="0.3" footer="0.3"/>
  <ignoredErrors>
    <ignoredError sqref="Q1:Q11 Q12:Q21 Q22:Q31 Q32:Q41 Q42:Q51 Q52:Q61 Q62:Q71 Q72:Q9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57581-2D5F-4578-AC45-CFE2FAA99156}">
  <sheetPr codeName="Blad20"/>
  <dimension ref="A1:AE41"/>
  <sheetViews>
    <sheetView topLeftCell="A6" workbookViewId="0">
      <selection activeCell="J31" sqref="J31"/>
    </sheetView>
  </sheetViews>
  <sheetFormatPr defaultRowHeight="14.4" x14ac:dyDescent="0.3"/>
  <cols>
    <col min="1" max="1" width="14.33203125" bestFit="1" customWidth="1"/>
    <col min="2" max="3" width="2" bestFit="1" customWidth="1"/>
    <col min="4" max="7" width="3" bestFit="1" customWidth="1"/>
    <col min="8" max="8" width="12.77734375" bestFit="1" customWidth="1"/>
    <col min="9" max="9" width="3" bestFit="1" customWidth="1"/>
    <col min="10" max="10" width="3.6640625" bestFit="1" customWidth="1"/>
    <col min="11" max="11" width="10" bestFit="1" customWidth="1"/>
    <col min="12" max="12" width="2" bestFit="1" customWidth="1"/>
    <col min="13" max="14" width="3" bestFit="1" customWidth="1"/>
    <col min="17" max="17" width="14.33203125" bestFit="1" customWidth="1"/>
    <col min="19" max="23" width="3" bestFit="1" customWidth="1"/>
    <col min="24" max="24" width="3.21875" bestFit="1" customWidth="1"/>
    <col min="25" max="25" width="3.6640625" bestFit="1" customWidth="1"/>
    <col min="26" max="26" width="15.109375" bestFit="1" customWidth="1"/>
    <col min="28" max="28" width="24.21875" bestFit="1" customWidth="1"/>
    <col min="35" max="35" width="11.77734375" bestFit="1" customWidth="1"/>
    <col min="44" max="44" width="13.33203125" bestFit="1" customWidth="1"/>
  </cols>
  <sheetData>
    <row r="1" spans="1:31" x14ac:dyDescent="0.3">
      <c r="B1" s="341" t="s">
        <v>97</v>
      </c>
      <c r="C1" s="341"/>
      <c r="D1" s="341"/>
      <c r="E1" s="341"/>
      <c r="F1" s="341"/>
      <c r="G1" s="341"/>
    </row>
    <row r="2" spans="1:31" x14ac:dyDescent="0.3">
      <c r="A2" t="str">
        <f>spelerslijsten!B1</f>
        <v>VZ&amp;PC Nautilus 1</v>
      </c>
      <c r="B2" cm="1">
        <f t="array" ref="B2">SUMPRODUCT((Wedstrijden!$J$6:$J$26&lt;&gt;"")*(Wedstrijden!$L$6:$L$26&lt;&gt;"")*(Wedstrijden!$E$6:$E$26=berekening1!$A2)*(Wedstrijden!$J$6:$J$26&gt;Wedstrijden!$L$6:$L$26))</f>
        <v>1</v>
      </c>
      <c r="C2" cm="1">
        <f t="array" ref="C2">SUMPRODUCT((Wedstrijden!$J$6:$J$26&lt;&gt;"")*(Wedstrijden!$L$6:$L$26&lt;&gt;"")*(Wedstrijden!$E$6:$E$26=berekening1!$A2)*(Wedstrijden!$J$6:$J$26=Wedstrijden!$L$6:$L$26))</f>
        <v>0</v>
      </c>
      <c r="D2" cm="1">
        <f t="array" ref="D2">SUMPRODUCT((Wedstrijden!$J$6:$J$26&lt;&gt;"")*(Wedstrijden!$L$6:$L$26&lt;&gt;"")*(Wedstrijden!$E$6:$E$26=berekening1!$A2)*(Wedstrijden!$J$6:$J$26&lt;Wedstrijden!$L$6:$L$26))</f>
        <v>2</v>
      </c>
      <c r="E2">
        <f>B2*3+C2</f>
        <v>3</v>
      </c>
      <c r="F2">
        <f>SUMIF(Wedstrijden!$E$6:$E$26,berekening1!$A2,Wedstrijden!$J$6:$J$26)</f>
        <v>10</v>
      </c>
      <c r="G2">
        <f>SUMIF(Wedstrijden!$E$6:$E$26,berekening1!$A2,Wedstrijden!$L$6:$L$26)</f>
        <v>9</v>
      </c>
      <c r="I2" cm="1">
        <f t="array" ref="I2">SUMPRODUCT((Wedstrijden!$J$6:$J$26&lt;&gt;"")*(Wedstrijden!$L$6:$L$26&lt;&gt;"")*(Wedstrijden!$I$6:$I$26=berekening1!$A2)*(Wedstrijden!$J$6:$J$26&lt;Wedstrijden!$L$6:$L$26))</f>
        <v>1</v>
      </c>
      <c r="J2" cm="1">
        <f t="array" ref="J2">SUMPRODUCT((Wedstrijden!$J$6:$J$26&lt;&gt;"")*(Wedstrijden!$L$6:$L$26&lt;&gt;"")*(Wedstrijden!$I$6:$I$26=berekening1!$A2)*(Wedstrijden!$J$6:$J$26=Wedstrijden!$L$6:$L$26))</f>
        <v>0</v>
      </c>
      <c r="K2" cm="1">
        <f t="array" ref="K2">SUMPRODUCT((Wedstrijden!$J$6:$J$26&lt;&gt;"")*(Wedstrijden!$L$6:$L$26&lt;&gt;"")*(Wedstrijden!$I$6:$I$26=berekening1!$A2)*(Wedstrijden!$J$6:$J$26&gt;Wedstrijden!$L$6:$L$26))</f>
        <v>1</v>
      </c>
      <c r="L2">
        <f>I2*3+J2</f>
        <v>3</v>
      </c>
      <c r="M2">
        <f>SUMIF(Wedstrijden!$I$6:$I$26,berekening1!$A2,Wedstrijden!$L$6:$L$26)</f>
        <v>4</v>
      </c>
      <c r="N2">
        <f>SUMIF(Wedstrijden!$I$6:$I$26,berekening1!$A2,Wedstrijden!$J$6:$J$26)</f>
        <v>8</v>
      </c>
      <c r="P2">
        <f>SUM(AA2:AE2)</f>
        <v>6</v>
      </c>
      <c r="Q2" t="str">
        <f>A2</f>
        <v>VZ&amp;PC Nautilus 1</v>
      </c>
      <c r="R2">
        <f>S2+T2+U2</f>
        <v>5</v>
      </c>
      <c r="S2">
        <f>B2+I2</f>
        <v>2</v>
      </c>
      <c r="T2">
        <f t="shared" ref="T2:X2" si="0">C2+J2</f>
        <v>0</v>
      </c>
      <c r="U2">
        <f t="shared" si="0"/>
        <v>3</v>
      </c>
      <c r="V2">
        <f t="shared" si="0"/>
        <v>6</v>
      </c>
      <c r="W2">
        <f t="shared" si="0"/>
        <v>14</v>
      </c>
      <c r="X2">
        <f t="shared" si="0"/>
        <v>17</v>
      </c>
      <c r="Y2">
        <f>W2-X2</f>
        <v>-3</v>
      </c>
      <c r="Z2">
        <v>9</v>
      </c>
      <c r="AA2">
        <f>RANK(V2,$V$2:$V$10)</f>
        <v>6</v>
      </c>
      <c r="AB2" cm="1">
        <f t="array" ref="AB2">SUMPRODUCT(($V$2:$V$10=V2)*($R$2:$R$10&lt;R2))</f>
        <v>0</v>
      </c>
      <c r="AC2" cm="1">
        <f t="array" ref="AC2">SUMPRODUCT(($V$2:$V$10=V2)*($R$2:$R$10=R2)*($Y$2:$Y$10&gt;Y2))</f>
        <v>0</v>
      </c>
      <c r="AD2" cm="1">
        <f t="array" ref="AD2">SUMPRODUCT(($V$2:$V$10=V2)*($R$2:$R$10=R2)*($Y$2:$Y$10=Y2)*($W$2:$W$10&gt;W2))</f>
        <v>0</v>
      </c>
      <c r="AE2" cm="1">
        <f t="array" ref="AE2">SUMPRODUCT(($V$2:$V$10=V2)*($R$2:$R$10=R2)*($Y$2:$Y$10=Y2)*($W$2:$W$10=W2)*($Z$2:$Z$10&gt;Z2))</f>
        <v>0</v>
      </c>
    </row>
    <row r="3" spans="1:31" x14ac:dyDescent="0.3">
      <c r="A3" t="str">
        <f>spelerslijsten!C1</f>
        <v>VZ&amp;PC Nautilus 2</v>
      </c>
      <c r="B3" cm="1">
        <f t="array" ref="B3">SUMPRODUCT((Wedstrijden!$J$6:$J$26&lt;&gt;"")*(Wedstrijden!$L$6:$L$26&lt;&gt;"")*(Wedstrijden!$E$6:$E$26=berekening1!$A3)*(Wedstrijden!$J$6:$J$26&gt;Wedstrijden!$L$6:$L$26))</f>
        <v>0</v>
      </c>
      <c r="C3" cm="1">
        <f t="array" ref="C3">SUMPRODUCT((Wedstrijden!$J$6:$J$26&lt;&gt;"")*(Wedstrijden!$L$6:$L$26&lt;&gt;"")*(Wedstrijden!$E$6:$E$26=berekening1!$A3)*(Wedstrijden!$J$6:$J$26=Wedstrijden!$L$6:$L$26))</f>
        <v>0</v>
      </c>
      <c r="D3" cm="1">
        <f t="array" ref="D3">SUMPRODUCT((Wedstrijden!$J$6:$J$26&lt;&gt;"")*(Wedstrijden!$L$6:$L$26&lt;&gt;"")*(Wedstrijden!$E$6:$E$26=berekening1!$A3)*(Wedstrijden!$J$6:$J$26&lt;Wedstrijden!$L$6:$L$26))</f>
        <v>0</v>
      </c>
      <c r="E3">
        <f t="shared" ref="E3:E10" si="1">B3*3+C3</f>
        <v>0</v>
      </c>
      <c r="F3">
        <f>SUMIF(Wedstrijden!$E$6:$E$26,berekening1!$A3,Wedstrijden!$J$6:$J$26)</f>
        <v>0</v>
      </c>
      <c r="G3">
        <f>SUMIF(Wedstrijden!$E$6:$E$26,berekening1!$A3,Wedstrijden!$L$6:$L$26)</f>
        <v>0</v>
      </c>
      <c r="I3" cm="1">
        <f t="array" ref="I3">SUMPRODUCT((Wedstrijden!$J$6:$J$26&lt;&gt;"")*(Wedstrijden!$L$6:$L$26&lt;&gt;"")*(Wedstrijden!$I$6:$I$26=berekening1!$A3)*(Wedstrijden!$J$6:$J$26&lt;Wedstrijden!$L$6:$L$26))</f>
        <v>2</v>
      </c>
      <c r="J3" cm="1">
        <f t="array" ref="J3">SUMPRODUCT((Wedstrijden!$J$6:$J$26&lt;&gt;"")*(Wedstrijden!$L$6:$L$26&lt;&gt;"")*(Wedstrijden!$I$6:$I$26=berekening1!$A3)*(Wedstrijden!$J$6:$J$26=Wedstrijden!$L$6:$L$26))</f>
        <v>1</v>
      </c>
      <c r="K3" cm="1">
        <f t="array" ref="K3">SUMPRODUCT((Wedstrijden!$J$6:$J$26&lt;&gt;"")*(Wedstrijden!$L$6:$L$26&lt;&gt;"")*(Wedstrijden!$I$6:$I$26=berekening1!$A3)*(Wedstrijden!$J$6:$J$26&gt;Wedstrijden!$L$6:$L$26))</f>
        <v>2</v>
      </c>
      <c r="L3">
        <f t="shared" ref="L3:L10" si="2">I3*3+J3</f>
        <v>7</v>
      </c>
      <c r="M3">
        <f>SUMIF(Wedstrijden!$I$6:$I$26,berekening1!$A3,Wedstrijden!$L$6:$L$26)</f>
        <v>17</v>
      </c>
      <c r="N3">
        <f>SUMIF(Wedstrijden!$I$6:$I$26,berekening1!$A3,Wedstrijden!$J$6:$J$26)</f>
        <v>17</v>
      </c>
      <c r="P3">
        <f t="shared" ref="P3:P10" si="3">SUM(AA3:AE3)</f>
        <v>5</v>
      </c>
      <c r="Q3" t="str">
        <f t="shared" ref="Q3:Q8" si="4">A3</f>
        <v>VZ&amp;PC Nautilus 2</v>
      </c>
      <c r="R3">
        <f t="shared" ref="R3:R10" si="5">S3+T3+U3</f>
        <v>5</v>
      </c>
      <c r="S3">
        <f t="shared" ref="S3:S8" si="6">B3+I3</f>
        <v>2</v>
      </c>
      <c r="T3">
        <f t="shared" ref="T3:T8" si="7">C3+J3</f>
        <v>1</v>
      </c>
      <c r="U3">
        <f t="shared" ref="U3:U8" si="8">D3+K3</f>
        <v>2</v>
      </c>
      <c r="V3">
        <f t="shared" ref="V3:V8" si="9">E3+L3</f>
        <v>7</v>
      </c>
      <c r="W3">
        <f t="shared" ref="W3:W8" si="10">F3+M3</f>
        <v>17</v>
      </c>
      <c r="X3">
        <f t="shared" ref="X3:X8" si="11">G3+N3</f>
        <v>17</v>
      </c>
      <c r="Y3">
        <f t="shared" ref="Y3:Y8" si="12">W3-X3</f>
        <v>0</v>
      </c>
      <c r="Z3">
        <v>8</v>
      </c>
      <c r="AA3">
        <f t="shared" ref="AA3:AA10" si="13">RANK(V3,$V$2:$V$10)</f>
        <v>4</v>
      </c>
      <c r="AB3" cm="1">
        <f t="array" ref="AB3">SUMPRODUCT(($V$2:$V$10=V3)*($R$2:$R$10&lt;R3))</f>
        <v>0</v>
      </c>
      <c r="AC3" cm="1">
        <f t="array" ref="AC3">SUMPRODUCT(($V$2:$V$10=V3)*($R$2:$R$10=R3)*($Y$2:$Y$10&gt;Y3))</f>
        <v>1</v>
      </c>
      <c r="AD3" cm="1">
        <f t="array" ref="AD3">SUMPRODUCT(($V$2:$V$10=V3)*($R$2:$R$10=R3)*($Y$2:$Y$10=Y3)*($W$2:$W$10&gt;W3))</f>
        <v>0</v>
      </c>
      <c r="AE3" cm="1">
        <f t="array" ref="AE3">SUMPRODUCT(($V$2:$V$10=V3)*($R$2:$R$10=R3)*($Y$2:$Y$10=Y3)*($W$2:$W$10=W3)*($Z$2:$Z$10&gt;Z3))</f>
        <v>0</v>
      </c>
    </row>
    <row r="4" spans="1:31" x14ac:dyDescent="0.3">
      <c r="A4" t="str">
        <f>spelerslijsten!D1</f>
        <v>RZ Roermond</v>
      </c>
      <c r="B4" cm="1">
        <f t="array" ref="B4">SUMPRODUCT((Wedstrijden!$J$6:$J$26&lt;&gt;"")*(Wedstrijden!$L$6:$L$26&lt;&gt;"")*(Wedstrijden!$E$6:$E$26=berekening1!$A4)*(Wedstrijden!$J$6:$J$26&gt;Wedstrijden!$L$6:$L$26))</f>
        <v>0</v>
      </c>
      <c r="C4" cm="1">
        <f t="array" ref="C4">SUMPRODUCT((Wedstrijden!$J$6:$J$26&lt;&gt;"")*(Wedstrijden!$L$6:$L$26&lt;&gt;"")*(Wedstrijden!$E$6:$E$26=berekening1!$A4)*(Wedstrijden!$J$6:$J$26=Wedstrijden!$L$6:$L$26))</f>
        <v>0</v>
      </c>
      <c r="D4" cm="1">
        <f t="array" ref="D4">SUMPRODUCT((Wedstrijden!$J$6:$J$26&lt;&gt;"")*(Wedstrijden!$L$6:$L$26&lt;&gt;"")*(Wedstrijden!$E$6:$E$26=berekening1!$A4)*(Wedstrijden!$J$6:$J$26&lt;Wedstrijden!$L$6:$L$26))</f>
        <v>2</v>
      </c>
      <c r="E4">
        <f t="shared" si="1"/>
        <v>0</v>
      </c>
      <c r="F4">
        <f>SUMIF(Wedstrijden!$E$6:$E$26,berekening1!$A4,Wedstrijden!$J$6:$J$26)</f>
        <v>7</v>
      </c>
      <c r="G4">
        <f>SUMIF(Wedstrijden!$E$6:$E$26,berekening1!$A4,Wedstrijden!$L$6:$L$26)</f>
        <v>13</v>
      </c>
      <c r="I4" cm="1">
        <f t="array" ref="I4">SUMPRODUCT((Wedstrijden!$J$6:$J$26&lt;&gt;"")*(Wedstrijden!$L$6:$L$26&lt;&gt;"")*(Wedstrijden!$I$6:$I$26=berekening1!$A4)*(Wedstrijden!$J$6:$J$26&lt;Wedstrijden!$L$6:$L$26))</f>
        <v>0</v>
      </c>
      <c r="J4" cm="1">
        <f t="array" ref="J4">SUMPRODUCT((Wedstrijden!$J$6:$J$26&lt;&gt;"")*(Wedstrijden!$L$6:$L$26&lt;&gt;"")*(Wedstrijden!$I$6:$I$26=berekening1!$A4)*(Wedstrijden!$J$6:$J$26=Wedstrijden!$L$6:$L$26))</f>
        <v>0</v>
      </c>
      <c r="K4" cm="1">
        <f t="array" ref="K4">SUMPRODUCT((Wedstrijden!$J$6:$J$26&lt;&gt;"")*(Wedstrijden!$L$6:$L$26&lt;&gt;"")*(Wedstrijden!$I$6:$I$26=berekening1!$A4)*(Wedstrijden!$J$6:$J$26&gt;Wedstrijden!$L$6:$L$26))</f>
        <v>3</v>
      </c>
      <c r="L4">
        <f t="shared" si="2"/>
        <v>0</v>
      </c>
      <c r="M4">
        <f>SUMIF(Wedstrijden!$I$6:$I$26,berekening1!$A4,Wedstrijden!$L$6:$L$26)</f>
        <v>15</v>
      </c>
      <c r="N4">
        <f>SUMIF(Wedstrijden!$I$6:$I$26,berekening1!$A4,Wedstrijden!$J$6:$J$26)</f>
        <v>26</v>
      </c>
      <c r="P4">
        <f t="shared" si="3"/>
        <v>9</v>
      </c>
      <c r="Q4" t="str">
        <f t="shared" si="4"/>
        <v>RZ Roermond</v>
      </c>
      <c r="R4">
        <f t="shared" si="5"/>
        <v>5</v>
      </c>
      <c r="S4">
        <f t="shared" si="6"/>
        <v>0</v>
      </c>
      <c r="T4">
        <f t="shared" si="7"/>
        <v>0</v>
      </c>
      <c r="U4">
        <f t="shared" si="8"/>
        <v>5</v>
      </c>
      <c r="V4">
        <f t="shared" si="9"/>
        <v>0</v>
      </c>
      <c r="W4">
        <f t="shared" si="10"/>
        <v>22</v>
      </c>
      <c r="X4">
        <f t="shared" si="11"/>
        <v>39</v>
      </c>
      <c r="Y4">
        <f t="shared" si="12"/>
        <v>-17</v>
      </c>
      <c r="Z4">
        <v>7</v>
      </c>
      <c r="AA4">
        <f t="shared" si="13"/>
        <v>9</v>
      </c>
      <c r="AB4" cm="1">
        <f t="array" ref="AB4">SUMPRODUCT(($V$2:$V$10=V4)*($R$2:$R$10&lt;R4))</f>
        <v>0</v>
      </c>
      <c r="AC4" cm="1">
        <f t="array" ref="AC4">SUMPRODUCT(($V$2:$V$10=V4)*($R$2:$R$10=R4)*($Y$2:$Y$10&gt;Y4))</f>
        <v>0</v>
      </c>
      <c r="AD4" cm="1">
        <f t="array" ref="AD4">SUMPRODUCT(($V$2:$V$10=V4)*($R$2:$R$10=R4)*($Y$2:$Y$10=Y4)*($W$2:$W$10&gt;W4))</f>
        <v>0</v>
      </c>
      <c r="AE4" cm="1">
        <f t="array" ref="AE4">SUMPRODUCT(($V$2:$V$10=V4)*($R$2:$R$10=R4)*($Y$2:$Y$10=Y4)*($W$2:$W$10=W4)*($Z$2:$Z$10&gt;Z4))</f>
        <v>0</v>
      </c>
    </row>
    <row r="5" spans="1:31" x14ac:dyDescent="0.3">
      <c r="A5" t="str">
        <f>spelerslijsten!E1</f>
        <v>Gesposs Geel</v>
      </c>
      <c r="B5" cm="1">
        <f t="array" ref="B5">SUMPRODUCT((Wedstrijden!$J$6:$J$26&lt;&gt;"")*(Wedstrijden!$L$6:$L$26&lt;&gt;"")*(Wedstrijden!$E$6:$E$26=berekening1!$A5)*(Wedstrijden!$J$6:$J$26&gt;Wedstrijden!$L$6:$L$26))</f>
        <v>1</v>
      </c>
      <c r="C5" cm="1">
        <f t="array" ref="C5">SUMPRODUCT((Wedstrijden!$J$6:$J$26&lt;&gt;"")*(Wedstrijden!$L$6:$L$26&lt;&gt;"")*(Wedstrijden!$E$6:$E$26=berekening1!$A5)*(Wedstrijden!$J$6:$J$26=Wedstrijden!$L$6:$L$26))</f>
        <v>1</v>
      </c>
      <c r="D5" cm="1">
        <f t="array" ref="D5">SUMPRODUCT((Wedstrijden!$J$6:$J$26&lt;&gt;"")*(Wedstrijden!$L$6:$L$26&lt;&gt;"")*(Wedstrijden!$E$6:$E$26=berekening1!$A5)*(Wedstrijden!$J$6:$J$26&lt;Wedstrijden!$L$6:$L$26))</f>
        <v>1</v>
      </c>
      <c r="E5">
        <f t="shared" si="1"/>
        <v>4</v>
      </c>
      <c r="F5">
        <f>SUMIF(Wedstrijden!$E$6:$E$26,berekening1!$A5,Wedstrijden!$J$6:$J$26)</f>
        <v>8</v>
      </c>
      <c r="G5">
        <f>SUMIF(Wedstrijden!$E$6:$E$26,berekening1!$A5,Wedstrijden!$L$6:$L$26)</f>
        <v>8</v>
      </c>
      <c r="I5" cm="1">
        <f t="array" ref="I5">SUMPRODUCT((Wedstrijden!$J$6:$J$26&lt;&gt;"")*(Wedstrijden!$L$6:$L$26&lt;&gt;"")*(Wedstrijden!$I$6:$I$26=berekening1!$A5)*(Wedstrijden!$J$6:$J$26&lt;Wedstrijden!$L$6:$L$26))</f>
        <v>1</v>
      </c>
      <c r="J5" cm="1">
        <f t="array" ref="J5">SUMPRODUCT((Wedstrijden!$J$6:$J$26&lt;&gt;"")*(Wedstrijden!$L$6:$L$26&lt;&gt;"")*(Wedstrijden!$I$6:$I$26=berekening1!$A5)*(Wedstrijden!$J$6:$J$26=Wedstrijden!$L$6:$L$26))</f>
        <v>0</v>
      </c>
      <c r="K5" cm="1">
        <f t="array" ref="K5">SUMPRODUCT((Wedstrijden!$J$6:$J$26&lt;&gt;"")*(Wedstrijden!$L$6:$L$26&lt;&gt;"")*(Wedstrijden!$I$6:$I$26=berekening1!$A5)*(Wedstrijden!$J$6:$J$26&gt;Wedstrijden!$L$6:$L$26))</f>
        <v>1</v>
      </c>
      <c r="L5">
        <f t="shared" si="2"/>
        <v>3</v>
      </c>
      <c r="M5">
        <f>SUMIF(Wedstrijden!$I$6:$I$26,berekening1!$A5,Wedstrijden!$L$6:$L$26)</f>
        <v>8</v>
      </c>
      <c r="N5">
        <f>SUMIF(Wedstrijden!$I$6:$I$26,berekening1!$A5,Wedstrijden!$J$6:$J$26)</f>
        <v>5</v>
      </c>
      <c r="P5">
        <f t="shared" si="3"/>
        <v>4</v>
      </c>
      <c r="Q5" t="str">
        <f t="shared" si="4"/>
        <v>Gesposs Geel</v>
      </c>
      <c r="R5">
        <f t="shared" si="5"/>
        <v>5</v>
      </c>
      <c r="S5">
        <f t="shared" si="6"/>
        <v>2</v>
      </c>
      <c r="T5">
        <f t="shared" si="7"/>
        <v>1</v>
      </c>
      <c r="U5">
        <f t="shared" si="8"/>
        <v>2</v>
      </c>
      <c r="V5">
        <f t="shared" si="9"/>
        <v>7</v>
      </c>
      <c r="W5">
        <f t="shared" si="10"/>
        <v>16</v>
      </c>
      <c r="X5">
        <f t="shared" si="11"/>
        <v>13</v>
      </c>
      <c r="Y5">
        <f t="shared" si="12"/>
        <v>3</v>
      </c>
      <c r="Z5">
        <v>6</v>
      </c>
      <c r="AA5">
        <f t="shared" si="13"/>
        <v>4</v>
      </c>
      <c r="AB5" cm="1">
        <f t="array" ref="AB5">SUMPRODUCT(($V$2:$V$10=V5)*($R$2:$R$10&lt;R5))</f>
        <v>0</v>
      </c>
      <c r="AC5" cm="1">
        <f t="array" ref="AC5">SUMPRODUCT(($V$2:$V$10=V5)*($R$2:$R$10=R5)*($Y$2:$Y$10&gt;Y5))</f>
        <v>0</v>
      </c>
      <c r="AD5" cm="1">
        <f t="array" ref="AD5">SUMPRODUCT(($V$2:$V$10=V5)*($R$2:$R$10=R5)*($Y$2:$Y$10=Y5)*($W$2:$W$10&gt;W5))</f>
        <v>0</v>
      </c>
      <c r="AE5" cm="1">
        <f t="array" ref="AE5">SUMPRODUCT(($V$2:$V$10=V5)*($R$2:$R$10=R5)*($Y$2:$Y$10=Y5)*($W$2:$W$10=W5)*($Z$2:$Z$10&gt;Z5))</f>
        <v>0</v>
      </c>
    </row>
    <row r="6" spans="1:31" x14ac:dyDescent="0.3">
      <c r="A6" t="str">
        <f>spelerslijsten!F1</f>
        <v>Gesposs Blauw</v>
      </c>
      <c r="B6" cm="1">
        <f t="array" ref="B6">SUMPRODUCT((Wedstrijden!$J$6:$J$26&lt;&gt;"")*(Wedstrijden!$L$6:$L$26&lt;&gt;"")*(Wedstrijden!$E$6:$E$26=berekening1!$A6)*(Wedstrijden!$J$6:$J$26&gt;Wedstrijden!$L$6:$L$26))</f>
        <v>0</v>
      </c>
      <c r="C6" cm="1">
        <f t="array" ref="C6">SUMPRODUCT((Wedstrijden!$J$6:$J$26&lt;&gt;"")*(Wedstrijden!$L$6:$L$26&lt;&gt;"")*(Wedstrijden!$E$6:$E$26=berekening1!$A6)*(Wedstrijden!$J$6:$J$26=Wedstrijden!$L$6:$L$26))</f>
        <v>0</v>
      </c>
      <c r="D6" cm="1">
        <f t="array" ref="D6">SUMPRODUCT((Wedstrijden!$J$6:$J$26&lt;&gt;"")*(Wedstrijden!$L$6:$L$26&lt;&gt;"")*(Wedstrijden!$E$6:$E$26=berekening1!$A6)*(Wedstrijden!$J$6:$J$26&lt;Wedstrijden!$L$6:$L$26))</f>
        <v>0</v>
      </c>
      <c r="E6">
        <f t="shared" si="1"/>
        <v>0</v>
      </c>
      <c r="F6">
        <f>SUMIF(Wedstrijden!$E$6:$E$26,berekening1!$A6,Wedstrijden!$J$6:$J$26)</f>
        <v>0</v>
      </c>
      <c r="G6">
        <f>SUMIF(Wedstrijden!$E$6:$E$26,berekening1!$A6,Wedstrijden!$L$6:$L$26)</f>
        <v>0</v>
      </c>
      <c r="I6" cm="1">
        <f t="array" ref="I6">SUMPRODUCT((Wedstrijden!$J$6:$J$26&lt;&gt;"")*(Wedstrijden!$L$6:$L$26&lt;&gt;"")*(Wedstrijden!$I$6:$I$26=berekening1!$A6)*(Wedstrijden!$J$6:$J$26&lt;Wedstrijden!$L$6:$L$26))</f>
        <v>4</v>
      </c>
      <c r="J6" cm="1">
        <f t="array" ref="J6">SUMPRODUCT((Wedstrijden!$J$6:$J$26&lt;&gt;"")*(Wedstrijden!$L$6:$L$26&lt;&gt;"")*(Wedstrijden!$I$6:$I$26=berekening1!$A6)*(Wedstrijden!$J$6:$J$26=Wedstrijden!$L$6:$L$26))</f>
        <v>0</v>
      </c>
      <c r="K6" cm="1">
        <f t="array" ref="K6">SUMPRODUCT((Wedstrijden!$J$6:$J$26&lt;&gt;"")*(Wedstrijden!$L$6:$L$26&lt;&gt;"")*(Wedstrijden!$I$6:$I$26=berekening1!$A6)*(Wedstrijden!$J$6:$J$26&gt;Wedstrijden!$L$6:$L$26))</f>
        <v>1</v>
      </c>
      <c r="L6">
        <f t="shared" si="2"/>
        <v>12</v>
      </c>
      <c r="M6">
        <f>SUMIF(Wedstrijden!$I$6:$I$26,berekening1!$A6,Wedstrijden!$L$6:$L$26)</f>
        <v>31</v>
      </c>
      <c r="N6">
        <f>SUMIF(Wedstrijden!$I$6:$I$26,berekening1!$A6,Wedstrijden!$J$6:$J$26)</f>
        <v>15</v>
      </c>
      <c r="P6">
        <f t="shared" si="3"/>
        <v>2</v>
      </c>
      <c r="Q6" t="str">
        <f t="shared" si="4"/>
        <v>Gesposs Blauw</v>
      </c>
      <c r="R6">
        <f t="shared" si="5"/>
        <v>5</v>
      </c>
      <c r="S6">
        <f t="shared" si="6"/>
        <v>4</v>
      </c>
      <c r="T6">
        <f t="shared" si="7"/>
        <v>0</v>
      </c>
      <c r="U6">
        <f t="shared" si="8"/>
        <v>1</v>
      </c>
      <c r="V6">
        <f t="shared" si="9"/>
        <v>12</v>
      </c>
      <c r="W6">
        <f t="shared" si="10"/>
        <v>31</v>
      </c>
      <c r="X6">
        <f t="shared" si="11"/>
        <v>15</v>
      </c>
      <c r="Y6">
        <f t="shared" si="12"/>
        <v>16</v>
      </c>
      <c r="Z6">
        <v>5</v>
      </c>
      <c r="AA6">
        <f t="shared" si="13"/>
        <v>2</v>
      </c>
      <c r="AB6" cm="1">
        <f t="array" ref="AB6">SUMPRODUCT(($V$2:$V$10=V6)*($R$2:$R$10&lt;R6))</f>
        <v>0</v>
      </c>
      <c r="AC6" cm="1">
        <f t="array" ref="AC6">SUMPRODUCT(($V$2:$V$10=V6)*($R$2:$R$10=R6)*($Y$2:$Y$10&gt;Y6))</f>
        <v>0</v>
      </c>
      <c r="AD6" cm="1">
        <f t="array" ref="AD6">SUMPRODUCT(($V$2:$V$10=V6)*($R$2:$R$10=R6)*($Y$2:$Y$10=Y6)*($W$2:$W$10&gt;W6))</f>
        <v>0</v>
      </c>
      <c r="AE6" cm="1">
        <f t="array" ref="AE6">SUMPRODUCT(($V$2:$V$10=V6)*($R$2:$R$10=R6)*($Y$2:$Y$10=Y6)*($W$2:$W$10=W6)*($Z$2:$Z$10&gt;Z6))</f>
        <v>0</v>
      </c>
    </row>
    <row r="7" spans="1:31" x14ac:dyDescent="0.3">
      <c r="A7" t="str">
        <f>spelerslijsten!G1</f>
        <v>SVG Den Bosch</v>
      </c>
      <c r="B7" cm="1">
        <f t="array" ref="B7">SUMPRODUCT((Wedstrijden!$J$6:$J$26&lt;&gt;"")*(Wedstrijden!$L$6:$L$26&lt;&gt;"")*(Wedstrijden!$E$6:$E$26=berekening1!$A7)*(Wedstrijden!$J$6:$J$26&gt;Wedstrijden!$L$6:$L$26))</f>
        <v>5</v>
      </c>
      <c r="C7" cm="1">
        <f t="array" ref="C7">SUMPRODUCT((Wedstrijden!$J$6:$J$26&lt;&gt;"")*(Wedstrijden!$L$6:$L$26&lt;&gt;"")*(Wedstrijden!$E$6:$E$26=berekening1!$A7)*(Wedstrijden!$J$6:$J$26=Wedstrijden!$L$6:$L$26))</f>
        <v>0</v>
      </c>
      <c r="D7" cm="1">
        <f t="array" ref="D7">SUMPRODUCT((Wedstrijden!$J$6:$J$26&lt;&gt;"")*(Wedstrijden!$L$6:$L$26&lt;&gt;"")*(Wedstrijden!$E$6:$E$26=berekening1!$A7)*(Wedstrijden!$J$6:$J$26&lt;Wedstrijden!$L$6:$L$26))</f>
        <v>0</v>
      </c>
      <c r="E7">
        <f t="shared" si="1"/>
        <v>15</v>
      </c>
      <c r="F7">
        <f>SUMIF(Wedstrijden!$E$6:$E$26,berekening1!$A7,Wedstrijden!$J$6:$J$26)</f>
        <v>24</v>
      </c>
      <c r="G7">
        <f>SUMIF(Wedstrijden!$E$6:$E$26,berekening1!$A7,Wedstrijden!$L$6:$L$26)</f>
        <v>10</v>
      </c>
      <c r="I7" cm="1">
        <f t="array" ref="I7">SUMPRODUCT((Wedstrijden!$J$6:$J$26&lt;&gt;"")*(Wedstrijden!$L$6:$L$26&lt;&gt;"")*(Wedstrijden!$I$6:$I$26=berekening1!$A7)*(Wedstrijden!$J$6:$J$26&lt;Wedstrijden!$L$6:$L$26))</f>
        <v>0</v>
      </c>
      <c r="J7" cm="1">
        <f t="array" ref="J7">SUMPRODUCT((Wedstrijden!$J$6:$J$26&lt;&gt;"")*(Wedstrijden!$L$6:$L$26&lt;&gt;"")*(Wedstrijden!$I$6:$I$26=berekening1!$A7)*(Wedstrijden!$J$6:$J$26=Wedstrijden!$L$6:$L$26))</f>
        <v>0</v>
      </c>
      <c r="K7" cm="1">
        <f t="array" ref="K7">SUMPRODUCT((Wedstrijden!$J$6:$J$26&lt;&gt;"")*(Wedstrijden!$L$6:$L$26&lt;&gt;"")*(Wedstrijden!$I$6:$I$26=berekening1!$A7)*(Wedstrijden!$J$6:$J$26&gt;Wedstrijden!$L$6:$L$26))</f>
        <v>0</v>
      </c>
      <c r="L7">
        <f t="shared" si="2"/>
        <v>0</v>
      </c>
      <c r="M7">
        <f>SUMIF(Wedstrijden!$I$6:$I$26,berekening1!$A7,Wedstrijden!$L$6:$L$26)</f>
        <v>0</v>
      </c>
      <c r="N7">
        <f>SUMIF(Wedstrijden!$I$6:$I$26,berekening1!$A7,Wedstrijden!$J$6:$J$26)</f>
        <v>0</v>
      </c>
      <c r="P7">
        <f t="shared" si="3"/>
        <v>1</v>
      </c>
      <c r="Q7" t="str">
        <f t="shared" si="4"/>
        <v>SVG Den Bosch</v>
      </c>
      <c r="R7">
        <f t="shared" si="5"/>
        <v>5</v>
      </c>
      <c r="S7">
        <f t="shared" si="6"/>
        <v>5</v>
      </c>
      <c r="T7">
        <f t="shared" si="7"/>
        <v>0</v>
      </c>
      <c r="U7">
        <f t="shared" si="8"/>
        <v>0</v>
      </c>
      <c r="V7">
        <f t="shared" si="9"/>
        <v>15</v>
      </c>
      <c r="W7">
        <f t="shared" si="10"/>
        <v>24</v>
      </c>
      <c r="X7">
        <f t="shared" si="11"/>
        <v>10</v>
      </c>
      <c r="Y7">
        <f t="shared" si="12"/>
        <v>14</v>
      </c>
      <c r="Z7">
        <v>4</v>
      </c>
      <c r="AA7">
        <f t="shared" si="13"/>
        <v>1</v>
      </c>
      <c r="AB7" cm="1">
        <f t="array" ref="AB7">SUMPRODUCT(($V$2:$V$10=V7)*($R$2:$R$10&lt;R7))</f>
        <v>0</v>
      </c>
      <c r="AC7" cm="1">
        <f t="array" ref="AC7">SUMPRODUCT(($V$2:$V$10=V7)*($R$2:$R$10=R7)*($Y$2:$Y$10&gt;Y7))</f>
        <v>0</v>
      </c>
      <c r="AD7" cm="1">
        <f t="array" ref="AD7">SUMPRODUCT(($V$2:$V$10=V7)*($R$2:$R$10=R7)*($Y$2:$Y$10=Y7)*($W$2:$W$10&gt;W7))</f>
        <v>0</v>
      </c>
      <c r="AE7" cm="1">
        <f t="array" ref="AE7">SUMPRODUCT(($V$2:$V$10=V7)*($R$2:$R$10=R7)*($Y$2:$Y$10=Y7)*($W$2:$W$10=W7)*($Z$2:$Z$10&gt;Z7))</f>
        <v>0</v>
      </c>
    </row>
    <row r="8" spans="1:31" x14ac:dyDescent="0.3">
      <c r="A8" t="str">
        <f>spelerslijsten!H1</f>
        <v>Aqua Novio</v>
      </c>
      <c r="B8" cm="1">
        <f t="array" ref="B8">SUMPRODUCT((Wedstrijden!$J$6:$J$26&lt;&gt;"")*(Wedstrijden!$L$6:$L$26&lt;&gt;"")*(Wedstrijden!$E$6:$E$26=berekening1!$A8)*(Wedstrijden!$J$6:$J$26&gt;Wedstrijden!$L$6:$L$26))</f>
        <v>1</v>
      </c>
      <c r="C8" cm="1">
        <f t="array" ref="C8">SUMPRODUCT((Wedstrijden!$J$6:$J$26&lt;&gt;"")*(Wedstrijden!$L$6:$L$26&lt;&gt;"")*(Wedstrijden!$E$6:$E$26=berekening1!$A8)*(Wedstrijden!$J$6:$J$26=Wedstrijden!$L$6:$L$26))</f>
        <v>0</v>
      </c>
      <c r="D8" cm="1">
        <f t="array" ref="D8">SUMPRODUCT((Wedstrijden!$J$6:$J$26&lt;&gt;"")*(Wedstrijden!$L$6:$L$26&lt;&gt;"")*(Wedstrijden!$E$6:$E$26=berekening1!$A8)*(Wedstrijden!$J$6:$J$26&lt;Wedstrijden!$L$6:$L$26))</f>
        <v>3</v>
      </c>
      <c r="E8">
        <f t="shared" si="1"/>
        <v>3</v>
      </c>
      <c r="F8">
        <f>SUMIF(Wedstrijden!$E$6:$E$26,berekening1!$A8,Wedstrijden!$J$6:$J$26)</f>
        <v>16</v>
      </c>
      <c r="G8">
        <f>SUMIF(Wedstrijden!$E$6:$E$26,berekening1!$A8,Wedstrijden!$L$6:$L$26)</f>
        <v>30</v>
      </c>
      <c r="I8" cm="1">
        <f t="array" ref="I8">SUMPRODUCT((Wedstrijden!$J$6:$J$26&lt;&gt;"")*(Wedstrijden!$L$6:$L$26&lt;&gt;"")*(Wedstrijden!$I$6:$I$26=berekening1!$A8)*(Wedstrijden!$J$6:$J$26&lt;Wedstrijden!$L$6:$L$26))</f>
        <v>0</v>
      </c>
      <c r="J8" cm="1">
        <f t="array" ref="J8">SUMPRODUCT((Wedstrijden!$J$6:$J$26&lt;&gt;"")*(Wedstrijden!$L$6:$L$26&lt;&gt;"")*(Wedstrijden!$I$6:$I$26=berekening1!$A8)*(Wedstrijden!$J$6:$J$26=Wedstrijden!$L$6:$L$26))</f>
        <v>0</v>
      </c>
      <c r="K8" cm="1">
        <f t="array" ref="K8">SUMPRODUCT((Wedstrijden!$J$6:$J$26&lt;&gt;"")*(Wedstrijden!$L$6:$L$26&lt;&gt;"")*(Wedstrijden!$I$6:$I$26=berekening1!$A8)*(Wedstrijden!$J$6:$J$26&gt;Wedstrijden!$L$6:$L$26))</f>
        <v>0</v>
      </c>
      <c r="L8">
        <f t="shared" si="2"/>
        <v>0</v>
      </c>
      <c r="M8">
        <f>SUMIF(Wedstrijden!$I$6:$I$26,berekening1!$A8,Wedstrijden!$L$6:$L$26)</f>
        <v>0</v>
      </c>
      <c r="N8">
        <f>SUMIF(Wedstrijden!$I$6:$I$26,berekening1!$A8,Wedstrijden!$J$6:$J$26)</f>
        <v>0</v>
      </c>
      <c r="P8">
        <f t="shared" si="3"/>
        <v>8</v>
      </c>
      <c r="Q8" t="str">
        <f t="shared" si="4"/>
        <v>Aqua Novio</v>
      </c>
      <c r="R8">
        <f t="shared" si="5"/>
        <v>4</v>
      </c>
      <c r="S8">
        <f t="shared" si="6"/>
        <v>1</v>
      </c>
      <c r="T8">
        <f t="shared" si="7"/>
        <v>0</v>
      </c>
      <c r="U8">
        <f t="shared" si="8"/>
        <v>3</v>
      </c>
      <c r="V8">
        <f t="shared" si="9"/>
        <v>3</v>
      </c>
      <c r="W8">
        <f t="shared" si="10"/>
        <v>16</v>
      </c>
      <c r="X8">
        <f t="shared" si="11"/>
        <v>30</v>
      </c>
      <c r="Y8">
        <f t="shared" si="12"/>
        <v>-14</v>
      </c>
      <c r="Z8">
        <v>3</v>
      </c>
      <c r="AA8">
        <f t="shared" si="13"/>
        <v>7</v>
      </c>
      <c r="AB8" cm="1">
        <f t="array" ref="AB8">SUMPRODUCT(($V$2:$V$10=V8)*($R$2:$R$10&lt;R8))</f>
        <v>0</v>
      </c>
      <c r="AC8" cm="1">
        <f t="array" ref="AC8">SUMPRODUCT(($V$2:$V$10=V8)*($R$2:$R$10=R8)*($Y$2:$Y$10&gt;Y8))</f>
        <v>1</v>
      </c>
      <c r="AD8" cm="1">
        <f t="array" ref="AD8">SUMPRODUCT(($V$2:$V$10=V8)*($R$2:$R$10=R8)*($Y$2:$Y$10=Y8)*($W$2:$W$10&gt;W8))</f>
        <v>0</v>
      </c>
      <c r="AE8" cm="1">
        <f t="array" ref="AE8">SUMPRODUCT(($V$2:$V$10=V8)*($R$2:$R$10=R8)*($Y$2:$Y$10=Y8)*($W$2:$W$10=W8)*($Z$2:$Z$10&gt;Z8))</f>
        <v>0</v>
      </c>
    </row>
    <row r="9" spans="1:31" x14ac:dyDescent="0.3">
      <c r="A9" t="str">
        <f>spelerslijsten!I1</f>
        <v>De Tubanten 1</v>
      </c>
      <c r="B9" cm="1">
        <f t="array" ref="B9">SUMPRODUCT((Wedstrijden!$J$6:$J$26&lt;&gt;"")*(Wedstrijden!$L$6:$L$26&lt;&gt;"")*(Wedstrijden!$E$6:$E$26=berekening1!$A9)*(Wedstrijden!$J$6:$J$26&gt;Wedstrijden!$L$6:$L$26))</f>
        <v>3</v>
      </c>
      <c r="C9" cm="1">
        <f t="array" ref="C9">SUMPRODUCT((Wedstrijden!$J$6:$J$26&lt;&gt;"")*(Wedstrijden!$L$6:$L$26&lt;&gt;"")*(Wedstrijden!$E$6:$E$26=berekening1!$A9)*(Wedstrijden!$J$6:$J$26=Wedstrijden!$L$6:$L$26))</f>
        <v>0</v>
      </c>
      <c r="D9" cm="1">
        <f t="array" ref="D9">SUMPRODUCT((Wedstrijden!$J$6:$J$26&lt;&gt;"")*(Wedstrijden!$L$6:$L$26&lt;&gt;"")*(Wedstrijden!$E$6:$E$26=berekening1!$A9)*(Wedstrijden!$J$6:$J$26&lt;Wedstrijden!$L$6:$L$26))</f>
        <v>0</v>
      </c>
      <c r="E9">
        <f t="shared" si="1"/>
        <v>9</v>
      </c>
      <c r="F9">
        <f>SUMIF(Wedstrijden!$E$6:$E$26,berekening1!$A9,Wedstrijden!$J$6:$J$26)</f>
        <v>21</v>
      </c>
      <c r="G9">
        <f>SUMIF(Wedstrijden!$E$6:$E$26,berekening1!$A9,Wedstrijden!$L$6:$L$26)</f>
        <v>12</v>
      </c>
      <c r="I9" cm="1">
        <f t="array" ref="I9">SUMPRODUCT((Wedstrijden!$J$6:$J$26&lt;&gt;"")*(Wedstrijden!$L$6:$L$26&lt;&gt;"")*(Wedstrijden!$I$6:$I$26=berekening1!$A9)*(Wedstrijden!$J$6:$J$26&lt;Wedstrijden!$L$6:$L$26))</f>
        <v>0</v>
      </c>
      <c r="J9" cm="1">
        <f t="array" ref="J9">SUMPRODUCT((Wedstrijden!$J$6:$J$26&lt;&gt;"")*(Wedstrijden!$L$6:$L$26&lt;&gt;"")*(Wedstrijden!$I$6:$I$26=berekening1!$A9)*(Wedstrijden!$J$6:$J$26=Wedstrijden!$L$6:$L$26))</f>
        <v>0</v>
      </c>
      <c r="K9" cm="1">
        <f t="array" ref="K9">SUMPRODUCT((Wedstrijden!$J$6:$J$26&lt;&gt;"")*(Wedstrijden!$L$6:$L$26&lt;&gt;"")*(Wedstrijden!$I$6:$I$26=berekening1!$A9)*(Wedstrijden!$J$6:$J$26&gt;Wedstrijden!$L$6:$L$26))</f>
        <v>1</v>
      </c>
      <c r="L9">
        <f t="shared" si="2"/>
        <v>0</v>
      </c>
      <c r="M9">
        <f>SUMIF(Wedstrijden!$I$6:$I$26,berekening1!$A9,Wedstrijden!$L$6:$L$26)</f>
        <v>3</v>
      </c>
      <c r="N9">
        <f>SUMIF(Wedstrijden!$I$6:$I$26,berekening1!$A9,Wedstrijden!$J$6:$J$26)</f>
        <v>4</v>
      </c>
      <c r="P9">
        <f t="shared" si="3"/>
        <v>3</v>
      </c>
      <c r="Q9" t="s">
        <v>165</v>
      </c>
      <c r="R9">
        <f t="shared" si="5"/>
        <v>4</v>
      </c>
      <c r="S9">
        <f t="shared" ref="S9:S10" si="14">B9+I9</f>
        <v>3</v>
      </c>
      <c r="T9">
        <f t="shared" ref="T9:T10" si="15">C9+J9</f>
        <v>0</v>
      </c>
      <c r="U9">
        <f t="shared" ref="U9:U10" si="16">D9+K9</f>
        <v>1</v>
      </c>
      <c r="V9">
        <f t="shared" ref="V9:V10" si="17">E9+L9</f>
        <v>9</v>
      </c>
      <c r="W9">
        <f t="shared" ref="W9:W10" si="18">F9+M9</f>
        <v>24</v>
      </c>
      <c r="X9">
        <f t="shared" ref="X9:X10" si="19">G9+N9</f>
        <v>16</v>
      </c>
      <c r="Y9">
        <f t="shared" ref="Y9:Y10" si="20">W9-X9</f>
        <v>8</v>
      </c>
      <c r="Z9">
        <v>2</v>
      </c>
      <c r="AA9">
        <f t="shared" si="13"/>
        <v>3</v>
      </c>
      <c r="AB9" cm="1">
        <f t="array" ref="AB9">SUMPRODUCT(($V$2:$V$10=V9)*($R$2:$R$10&lt;R9))</f>
        <v>0</v>
      </c>
      <c r="AC9" cm="1">
        <f t="array" ref="AC9">SUMPRODUCT(($V$2:$V$10=V9)*($R$2:$R$10=R9)*($Y$2:$Y$10&gt;Y9))</f>
        <v>0</v>
      </c>
      <c r="AD9" cm="1">
        <f t="array" ref="AD9">SUMPRODUCT(($V$2:$V$10=V9)*($R$2:$R$10=R9)*($Y$2:$Y$10=Y9)*($W$2:$W$10&gt;W9))</f>
        <v>0</v>
      </c>
      <c r="AE9" cm="1">
        <f t="array" ref="AE9">SUMPRODUCT(($V$2:$V$10=V9)*($R$2:$R$10=R9)*($Y$2:$Y$10=Y9)*($W$2:$W$10=W9)*($Z$2:$Z$10&gt;Z9))</f>
        <v>0</v>
      </c>
    </row>
    <row r="10" spans="1:31" x14ac:dyDescent="0.3">
      <c r="A10" t="str">
        <f>spelerslijsten!J1</f>
        <v>De Tubanten 2</v>
      </c>
      <c r="B10" cm="1">
        <f t="array" ref="B10">SUMPRODUCT((Wedstrijden!$J$6:$J$26&lt;&gt;"")*(Wedstrijden!$L$6:$L$26&lt;&gt;"")*(Wedstrijden!$E$6:$E$26=berekening1!$A10)*(Wedstrijden!$J$6:$J$26&gt;Wedstrijden!$L$6:$L$26))</f>
        <v>0</v>
      </c>
      <c r="C10" cm="1">
        <f t="array" ref="C10">SUMPRODUCT((Wedstrijden!$J$6:$J$26&lt;&gt;"")*(Wedstrijden!$L$6:$L$26&lt;&gt;"")*(Wedstrijden!$E$6:$E$26=berekening1!$A10)*(Wedstrijden!$J$6:$J$26=Wedstrijden!$L$6:$L$26))</f>
        <v>0</v>
      </c>
      <c r="D10" cm="1">
        <f t="array" ref="D10">SUMPRODUCT((Wedstrijden!$J$6:$J$26&lt;&gt;"")*(Wedstrijden!$L$6:$L$26&lt;&gt;"")*(Wedstrijden!$E$6:$E$26=berekening1!$A10)*(Wedstrijden!$J$6:$J$26&lt;Wedstrijden!$L$6:$L$26))</f>
        <v>1</v>
      </c>
      <c r="E10">
        <f t="shared" si="1"/>
        <v>0</v>
      </c>
      <c r="F10">
        <f>SUMIF(Wedstrijden!$E$6:$E$26,berekening1!$A10,Wedstrijden!$J$6:$J$26)</f>
        <v>2</v>
      </c>
      <c r="G10">
        <f>SUMIF(Wedstrijden!$E$6:$E$26,berekening1!$A10,Wedstrijden!$L$6:$L$26)</f>
        <v>7</v>
      </c>
      <c r="I10" cm="1">
        <f t="array" ref="I10">SUMPRODUCT((Wedstrijden!$J$6:$J$26&lt;&gt;"")*(Wedstrijden!$L$6:$L$26&lt;&gt;"")*(Wedstrijden!$I$6:$I$26=berekening1!$A10)*(Wedstrijden!$J$6:$J$26&lt;Wedstrijden!$L$6:$L$26))</f>
        <v>1</v>
      </c>
      <c r="J10" cm="1">
        <f t="array" ref="J10">SUMPRODUCT((Wedstrijden!$J$6:$J$26&lt;&gt;"")*(Wedstrijden!$L$6:$L$26&lt;&gt;"")*(Wedstrijden!$I$6:$I$26=berekening1!$A10)*(Wedstrijden!$J$6:$J$26=Wedstrijden!$L$6:$L$26))</f>
        <v>0</v>
      </c>
      <c r="K10" cm="1">
        <f t="array" ref="K10">SUMPRODUCT((Wedstrijden!$J$6:$J$26&lt;&gt;"")*(Wedstrijden!$L$6:$L$26&lt;&gt;"")*(Wedstrijden!$I$6:$I$26=berekening1!$A10)*(Wedstrijden!$J$6:$J$26&gt;Wedstrijden!$L$6:$L$26))</f>
        <v>2</v>
      </c>
      <c r="L10">
        <f t="shared" si="2"/>
        <v>3</v>
      </c>
      <c r="M10">
        <f>SUMIF(Wedstrijden!$I$6:$I$26,berekening1!$A10,Wedstrijden!$L$6:$L$26)</f>
        <v>11</v>
      </c>
      <c r="N10">
        <f>SUMIF(Wedstrijden!$I$6:$I$26,berekening1!$A10,Wedstrijden!$J$6:$J$26)</f>
        <v>13</v>
      </c>
      <c r="P10">
        <f t="shared" si="3"/>
        <v>7</v>
      </c>
      <c r="Q10" t="s">
        <v>166</v>
      </c>
      <c r="R10">
        <f t="shared" si="5"/>
        <v>4</v>
      </c>
      <c r="S10">
        <f t="shared" si="14"/>
        <v>1</v>
      </c>
      <c r="T10">
        <f t="shared" si="15"/>
        <v>0</v>
      </c>
      <c r="U10">
        <f t="shared" si="16"/>
        <v>3</v>
      </c>
      <c r="V10">
        <f t="shared" si="17"/>
        <v>3</v>
      </c>
      <c r="W10">
        <f t="shared" si="18"/>
        <v>13</v>
      </c>
      <c r="X10">
        <f t="shared" si="19"/>
        <v>20</v>
      </c>
      <c r="Y10">
        <f t="shared" si="20"/>
        <v>-7</v>
      </c>
      <c r="Z10">
        <v>1</v>
      </c>
      <c r="AA10">
        <f t="shared" si="13"/>
        <v>7</v>
      </c>
      <c r="AB10" cm="1">
        <f t="array" ref="AB10">SUMPRODUCT(($V$2:$V$10=V10)*($R$2:$R$10&lt;R10))</f>
        <v>0</v>
      </c>
      <c r="AC10" cm="1">
        <f t="array" ref="AC10">SUMPRODUCT(($V$2:$V$10=V10)*($R$2:$R$10=R10)*($Y$2:$Y$10&gt;Y10))</f>
        <v>0</v>
      </c>
      <c r="AD10" cm="1">
        <f t="array" ref="AD10">SUMPRODUCT(($V$2:$V$10=V10)*($R$2:$R$10=R10)*($Y$2:$Y$10=Y10)*($W$2:$W$10&gt;W10))</f>
        <v>0</v>
      </c>
      <c r="AE10" cm="1">
        <f t="array" ref="AE10">SUMPRODUCT(($V$2:$V$10=V10)*($R$2:$R$10=R10)*($Y$2:$Y$10=Y10)*($W$2:$W$10=W10)*($Z$2:$Z$10&gt;Z10))</f>
        <v>0</v>
      </c>
    </row>
    <row r="12" spans="1:31" x14ac:dyDescent="0.3">
      <c r="P12">
        <v>1</v>
      </c>
      <c r="Q12" t="str">
        <f>VLOOKUP($P12,$P$2:$Y$10,2,FALSE)</f>
        <v>SVG Den Bosch</v>
      </c>
      <c r="R12">
        <f>VLOOKUP($P12,$P$2:$Y$10,3,FALSE)</f>
        <v>5</v>
      </c>
      <c r="S12">
        <f>VLOOKUP($P12,$P$2:$Y$10,4,FALSE)</f>
        <v>5</v>
      </c>
      <c r="T12">
        <f>VLOOKUP($P12,$P$2:$Y$10,5,FALSE)</f>
        <v>0</v>
      </c>
      <c r="U12">
        <f>VLOOKUP($P12,$P$2:$Y$10,6,FALSE)</f>
        <v>0</v>
      </c>
      <c r="V12">
        <f>VLOOKUP($P12,$P$2:$Y$10,7,FALSE)</f>
        <v>15</v>
      </c>
      <c r="W12">
        <f>VLOOKUP($P12,$P$2:$Y$10,8,FALSE)</f>
        <v>24</v>
      </c>
      <c r="X12">
        <f>VLOOKUP($P12,$P$2:$Y$10,9,FALSE)</f>
        <v>10</v>
      </c>
      <c r="Y12">
        <f>VLOOKUP($P12,$P$2:$Y$10,10,FALSE)</f>
        <v>14</v>
      </c>
    </row>
    <row r="13" spans="1:31" x14ac:dyDescent="0.3">
      <c r="P13">
        <v>2</v>
      </c>
      <c r="Q13" t="str">
        <f t="shared" ref="Q13:Q20" si="21">VLOOKUP($P13,$P$2:$Y$10,2,FALSE)</f>
        <v>Gesposs Blauw</v>
      </c>
      <c r="R13">
        <f t="shared" ref="R13:R20" si="22">VLOOKUP($P13,$P$2:$Y$10,3,FALSE)</f>
        <v>5</v>
      </c>
      <c r="S13">
        <f t="shared" ref="S13:S20" si="23">VLOOKUP($P13,$P$2:$Y$10,4,FALSE)</f>
        <v>4</v>
      </c>
      <c r="T13">
        <f t="shared" ref="T13:T20" si="24">VLOOKUP($P13,$P$2:$Y$10,5,FALSE)</f>
        <v>0</v>
      </c>
      <c r="U13">
        <f t="shared" ref="U13:U20" si="25">VLOOKUP($P13,$P$2:$Y$10,6,FALSE)</f>
        <v>1</v>
      </c>
      <c r="V13">
        <f t="shared" ref="V13:V20" si="26">VLOOKUP($P13,$P$2:$Y$10,7,FALSE)</f>
        <v>12</v>
      </c>
      <c r="W13">
        <f t="shared" ref="W13:W20" si="27">VLOOKUP($P13,$P$2:$Y$10,8,FALSE)</f>
        <v>31</v>
      </c>
      <c r="X13">
        <f t="shared" ref="X13:X20" si="28">VLOOKUP($P13,$P$2:$Y$10,9,FALSE)</f>
        <v>15</v>
      </c>
      <c r="Y13">
        <f t="shared" ref="Y13:Y20" si="29">VLOOKUP($P13,$P$2:$Y$10,10,FALSE)</f>
        <v>16</v>
      </c>
    </row>
    <row r="14" spans="1:31" x14ac:dyDescent="0.3">
      <c r="P14">
        <v>3</v>
      </c>
      <c r="Q14" t="str">
        <f t="shared" si="21"/>
        <v>De Tubanten 1</v>
      </c>
      <c r="R14">
        <f t="shared" si="22"/>
        <v>4</v>
      </c>
      <c r="S14">
        <f t="shared" si="23"/>
        <v>3</v>
      </c>
      <c r="T14">
        <f t="shared" si="24"/>
        <v>0</v>
      </c>
      <c r="U14">
        <f t="shared" si="25"/>
        <v>1</v>
      </c>
      <c r="V14">
        <f t="shared" si="26"/>
        <v>9</v>
      </c>
      <c r="W14">
        <f t="shared" si="27"/>
        <v>24</v>
      </c>
      <c r="X14">
        <f t="shared" si="28"/>
        <v>16</v>
      </c>
      <c r="Y14">
        <f t="shared" si="29"/>
        <v>8</v>
      </c>
    </row>
    <row r="15" spans="1:31" x14ac:dyDescent="0.3">
      <c r="P15">
        <v>4</v>
      </c>
      <c r="Q15" t="str">
        <f t="shared" si="21"/>
        <v>Gesposs Geel</v>
      </c>
      <c r="R15">
        <f t="shared" si="22"/>
        <v>5</v>
      </c>
      <c r="S15">
        <f t="shared" si="23"/>
        <v>2</v>
      </c>
      <c r="T15">
        <f t="shared" si="24"/>
        <v>1</v>
      </c>
      <c r="U15">
        <f t="shared" si="25"/>
        <v>2</v>
      </c>
      <c r="V15">
        <f t="shared" si="26"/>
        <v>7</v>
      </c>
      <c r="W15">
        <f t="shared" si="27"/>
        <v>16</v>
      </c>
      <c r="X15">
        <f t="shared" si="28"/>
        <v>13</v>
      </c>
      <c r="Y15">
        <f t="shared" si="29"/>
        <v>3</v>
      </c>
    </row>
    <row r="16" spans="1:31" x14ac:dyDescent="0.3">
      <c r="P16">
        <v>5</v>
      </c>
      <c r="Q16" t="str">
        <f t="shared" si="21"/>
        <v>VZ&amp;PC Nautilus 2</v>
      </c>
      <c r="R16">
        <f t="shared" si="22"/>
        <v>5</v>
      </c>
      <c r="S16">
        <f t="shared" si="23"/>
        <v>2</v>
      </c>
      <c r="T16">
        <f t="shared" si="24"/>
        <v>1</v>
      </c>
      <c r="U16">
        <f t="shared" si="25"/>
        <v>2</v>
      </c>
      <c r="V16">
        <f t="shared" si="26"/>
        <v>7</v>
      </c>
      <c r="W16">
        <f t="shared" si="27"/>
        <v>17</v>
      </c>
      <c r="X16">
        <f t="shared" si="28"/>
        <v>17</v>
      </c>
      <c r="Y16">
        <f t="shared" si="29"/>
        <v>0</v>
      </c>
    </row>
    <row r="17" spans="1:31" x14ac:dyDescent="0.3">
      <c r="P17">
        <v>6</v>
      </c>
      <c r="Q17" t="str">
        <f t="shared" si="21"/>
        <v>VZ&amp;PC Nautilus 1</v>
      </c>
      <c r="R17">
        <f t="shared" si="22"/>
        <v>5</v>
      </c>
      <c r="S17">
        <f t="shared" si="23"/>
        <v>2</v>
      </c>
      <c r="T17">
        <f t="shared" si="24"/>
        <v>0</v>
      </c>
      <c r="U17">
        <f t="shared" si="25"/>
        <v>3</v>
      </c>
      <c r="V17">
        <f t="shared" si="26"/>
        <v>6</v>
      </c>
      <c r="W17">
        <f t="shared" si="27"/>
        <v>14</v>
      </c>
      <c r="X17">
        <f t="shared" si="28"/>
        <v>17</v>
      </c>
      <c r="Y17">
        <f t="shared" si="29"/>
        <v>-3</v>
      </c>
    </row>
    <row r="18" spans="1:31" x14ac:dyDescent="0.3">
      <c r="P18">
        <v>7</v>
      </c>
      <c r="Q18" t="str">
        <f t="shared" si="21"/>
        <v>De Tubanten 2</v>
      </c>
      <c r="R18">
        <f t="shared" si="22"/>
        <v>4</v>
      </c>
      <c r="S18">
        <f t="shared" si="23"/>
        <v>1</v>
      </c>
      <c r="T18">
        <f t="shared" si="24"/>
        <v>0</v>
      </c>
      <c r="U18">
        <f t="shared" si="25"/>
        <v>3</v>
      </c>
      <c r="V18">
        <f t="shared" si="26"/>
        <v>3</v>
      </c>
      <c r="W18">
        <f t="shared" si="27"/>
        <v>13</v>
      </c>
      <c r="X18">
        <f t="shared" si="28"/>
        <v>20</v>
      </c>
      <c r="Y18">
        <f t="shared" si="29"/>
        <v>-7</v>
      </c>
    </row>
    <row r="19" spans="1:31" x14ac:dyDescent="0.3">
      <c r="P19">
        <v>8</v>
      </c>
      <c r="Q19" t="str">
        <f t="shared" si="21"/>
        <v>Aqua Novio</v>
      </c>
      <c r="R19">
        <f t="shared" si="22"/>
        <v>4</v>
      </c>
      <c r="S19">
        <f t="shared" si="23"/>
        <v>1</v>
      </c>
      <c r="T19">
        <f t="shared" si="24"/>
        <v>0</v>
      </c>
      <c r="U19">
        <f t="shared" si="25"/>
        <v>3</v>
      </c>
      <c r="V19">
        <f t="shared" si="26"/>
        <v>3</v>
      </c>
      <c r="W19">
        <f t="shared" si="27"/>
        <v>16</v>
      </c>
      <c r="X19">
        <f t="shared" si="28"/>
        <v>30</v>
      </c>
      <c r="Y19">
        <f t="shared" si="29"/>
        <v>-14</v>
      </c>
    </row>
    <row r="20" spans="1:31" x14ac:dyDescent="0.3">
      <c r="P20">
        <v>9</v>
      </c>
      <c r="Q20" t="str">
        <f t="shared" si="21"/>
        <v>RZ Roermond</v>
      </c>
      <c r="R20">
        <f t="shared" si="22"/>
        <v>5</v>
      </c>
      <c r="S20">
        <f t="shared" si="23"/>
        <v>0</v>
      </c>
      <c r="T20">
        <f t="shared" si="24"/>
        <v>0</v>
      </c>
      <c r="U20">
        <f t="shared" si="25"/>
        <v>5</v>
      </c>
      <c r="V20">
        <f t="shared" si="26"/>
        <v>0</v>
      </c>
      <c r="W20">
        <f t="shared" si="27"/>
        <v>22</v>
      </c>
      <c r="X20">
        <f t="shared" si="28"/>
        <v>39</v>
      </c>
      <c r="Y20">
        <f t="shared" si="29"/>
        <v>-17</v>
      </c>
    </row>
    <row r="22" spans="1:31" x14ac:dyDescent="0.3">
      <c r="C22" t="s">
        <v>111</v>
      </c>
      <c r="D22" t="s">
        <v>112</v>
      </c>
      <c r="E22" t="s">
        <v>78</v>
      </c>
      <c r="F22" t="s">
        <v>113</v>
      </c>
      <c r="G22" t="s">
        <v>114</v>
      </c>
      <c r="H22" t="s">
        <v>115</v>
      </c>
      <c r="I22" t="s">
        <v>116</v>
      </c>
      <c r="J22" t="s">
        <v>117</v>
      </c>
      <c r="Q22" t="s">
        <v>110</v>
      </c>
    </row>
    <row r="23" spans="1:31" x14ac:dyDescent="0.3">
      <c r="A23" t="str">
        <f t="shared" ref="A23:A31" si="30">A2</f>
        <v>VZ&amp;PC Nautilus 1</v>
      </c>
      <c r="C23">
        <f>SUM(D23:F23)</f>
        <v>3</v>
      </c>
      <c r="D23">
        <v>1</v>
      </c>
      <c r="E23">
        <v>0</v>
      </c>
      <c r="F23">
        <v>2</v>
      </c>
      <c r="G23">
        <f>D23*3+E23</f>
        <v>3</v>
      </c>
      <c r="H23">
        <v>16</v>
      </c>
      <c r="I23">
        <v>21</v>
      </c>
      <c r="J23">
        <f>H23-I23</f>
        <v>-5</v>
      </c>
      <c r="P23">
        <f>SUM(AA23:AE23)</f>
        <v>6</v>
      </c>
      <c r="Q23" t="str">
        <f t="shared" ref="Q23:Q29" si="31">Q2</f>
        <v>VZ&amp;PC Nautilus 1</v>
      </c>
      <c r="R23">
        <f t="shared" ref="R23:R29" si="32">C23+R2</f>
        <v>8</v>
      </c>
      <c r="S23">
        <f t="shared" ref="S23:Y23" si="33">D23+S2</f>
        <v>3</v>
      </c>
      <c r="T23">
        <f t="shared" si="33"/>
        <v>0</v>
      </c>
      <c r="U23">
        <f t="shared" si="33"/>
        <v>5</v>
      </c>
      <c r="V23">
        <f t="shared" si="33"/>
        <v>9</v>
      </c>
      <c r="W23">
        <f t="shared" si="33"/>
        <v>30</v>
      </c>
      <c r="X23">
        <f t="shared" si="33"/>
        <v>38</v>
      </c>
      <c r="Y23">
        <f t="shared" si="33"/>
        <v>-8</v>
      </c>
      <c r="Z23">
        <v>9</v>
      </c>
      <c r="AA23">
        <f>RANK(V23,$V$23:$V$31)</f>
        <v>5</v>
      </c>
      <c r="AB23" cm="1">
        <f t="array" ref="AB23">SUMPRODUCT(($V$23:$V$31=V23)*($R$23:$R$31&lt;R23))</f>
        <v>0</v>
      </c>
      <c r="AC23" cm="1">
        <f t="array" ref="AC23">SUMPRODUCT(($V$23:$V$31=V23)*($R$23:$R$31=R23)*($Y$23:$Y$31&gt;Y23))</f>
        <v>1</v>
      </c>
      <c r="AD23" cm="1">
        <f t="array" ref="AD23">SUMPRODUCT(($V$23:$V$31=V23)*($R$23:$R$31=R23)*($Y$23:$Y$31=Y23)*($W$23:$W$31&gt;W23))</f>
        <v>0</v>
      </c>
      <c r="AE23" cm="1">
        <f t="array" ref="AE23">SUMPRODUCT(($V$23:$V$31=V23)*($R$23:$R$31=R23)*($Y$23:$Y$31=Y23)*($W$23:$W$31=W23)*($Z$23:$Z$31&gt;Z23))</f>
        <v>0</v>
      </c>
    </row>
    <row r="24" spans="1:31" x14ac:dyDescent="0.3">
      <c r="A24" t="str">
        <f t="shared" si="30"/>
        <v>VZ&amp;PC Nautilus 2</v>
      </c>
      <c r="C24">
        <f t="shared" ref="C24:C31" si="34">SUM(D24:F24)</f>
        <v>3</v>
      </c>
      <c r="D24">
        <v>2</v>
      </c>
      <c r="E24">
        <v>0</v>
      </c>
      <c r="F24">
        <v>1</v>
      </c>
      <c r="G24">
        <f t="shared" ref="G24:G31" si="35">D24*3+E24</f>
        <v>6</v>
      </c>
      <c r="H24">
        <v>16</v>
      </c>
      <c r="I24">
        <v>12</v>
      </c>
      <c r="J24">
        <f t="shared" ref="J24:J31" si="36">H24-I24</f>
        <v>4</v>
      </c>
      <c r="P24">
        <f t="shared" ref="P24:P31" si="37">SUM(AA24:AE24)</f>
        <v>4</v>
      </c>
      <c r="Q24" t="str">
        <f t="shared" si="31"/>
        <v>VZ&amp;PC Nautilus 2</v>
      </c>
      <c r="R24">
        <f t="shared" si="32"/>
        <v>8</v>
      </c>
      <c r="S24">
        <f t="shared" ref="S24:Y29" si="38">D24+S3</f>
        <v>4</v>
      </c>
      <c r="T24">
        <f t="shared" si="38"/>
        <v>1</v>
      </c>
      <c r="U24">
        <f t="shared" si="38"/>
        <v>3</v>
      </c>
      <c r="V24">
        <f t="shared" si="38"/>
        <v>13</v>
      </c>
      <c r="W24">
        <f t="shared" si="38"/>
        <v>33</v>
      </c>
      <c r="X24">
        <f t="shared" si="38"/>
        <v>29</v>
      </c>
      <c r="Y24">
        <f t="shared" si="38"/>
        <v>4</v>
      </c>
      <c r="Z24">
        <v>8</v>
      </c>
      <c r="AA24">
        <f t="shared" ref="AA24:AA31" si="39">RANK(V24,$V$23:$V$31)</f>
        <v>4</v>
      </c>
      <c r="AB24" cm="1">
        <f t="array" ref="AB24">SUMPRODUCT(($V$23:$V$31=V24)*($R$23:$R$31&lt;R24))</f>
        <v>0</v>
      </c>
      <c r="AC24" cm="1">
        <f t="array" ref="AC24">SUMPRODUCT(($V$23:$V$31=V24)*($R$23:$R$31=R24)*($Y$23:$Y$31&gt;Y24))</f>
        <v>0</v>
      </c>
      <c r="AD24" cm="1">
        <f t="array" ref="AD24">SUMPRODUCT(($V$23:$V$31=V24)*($R$23:$R$31=R24)*($Y$23:$Y$31=Y24)*($W$23:$W$31&gt;W24))</f>
        <v>0</v>
      </c>
      <c r="AE24" cm="1">
        <f t="array" ref="AE24">SUMPRODUCT(($V$23:$V$31=V24)*($R$23:$R$31=R24)*($Y$23:$Y$31=Y24)*($W$23:$W$31=W24)*($Z$23:$Z$31&gt;Z24))</f>
        <v>0</v>
      </c>
    </row>
    <row r="25" spans="1:31" x14ac:dyDescent="0.3">
      <c r="A25" t="str">
        <f t="shared" si="30"/>
        <v>RZ Roermond</v>
      </c>
      <c r="C25">
        <f t="shared" si="34"/>
        <v>3</v>
      </c>
      <c r="D25">
        <v>1</v>
      </c>
      <c r="E25">
        <v>0</v>
      </c>
      <c r="F25">
        <v>2</v>
      </c>
      <c r="G25">
        <f t="shared" si="35"/>
        <v>3</v>
      </c>
      <c r="H25">
        <v>17</v>
      </c>
      <c r="I25">
        <v>20</v>
      </c>
      <c r="J25">
        <f t="shared" si="36"/>
        <v>-3</v>
      </c>
      <c r="P25">
        <f t="shared" si="37"/>
        <v>8</v>
      </c>
      <c r="Q25" t="str">
        <f t="shared" si="31"/>
        <v>RZ Roermond</v>
      </c>
      <c r="R25">
        <f t="shared" si="32"/>
        <v>8</v>
      </c>
      <c r="S25">
        <f t="shared" si="38"/>
        <v>1</v>
      </c>
      <c r="T25">
        <f t="shared" si="38"/>
        <v>0</v>
      </c>
      <c r="U25">
        <f t="shared" si="38"/>
        <v>7</v>
      </c>
      <c r="V25">
        <f t="shared" si="38"/>
        <v>3</v>
      </c>
      <c r="W25">
        <f t="shared" si="38"/>
        <v>39</v>
      </c>
      <c r="X25">
        <f t="shared" si="38"/>
        <v>59</v>
      </c>
      <c r="Y25">
        <f t="shared" si="38"/>
        <v>-20</v>
      </c>
      <c r="Z25">
        <v>7</v>
      </c>
      <c r="AA25">
        <f t="shared" si="39"/>
        <v>8</v>
      </c>
      <c r="AB25" cm="1">
        <f t="array" ref="AB25">SUMPRODUCT(($V$23:$V$31=V25)*($R$23:$R$31&lt;R25))</f>
        <v>0</v>
      </c>
      <c r="AC25" cm="1">
        <f t="array" ref="AC25">SUMPRODUCT(($V$23:$V$31=V25)*($R$23:$R$31=R25)*($Y$23:$Y$31&gt;Y25))</f>
        <v>0</v>
      </c>
      <c r="AD25" cm="1">
        <f t="array" ref="AD25">SUMPRODUCT(($V$23:$V$31=V25)*($R$23:$R$31=R25)*($Y$23:$Y$31=Y25)*($W$23:$W$31&gt;W25))</f>
        <v>0</v>
      </c>
      <c r="AE25" cm="1">
        <f t="array" ref="AE25">SUMPRODUCT(($V$23:$V$31=V25)*($R$23:$R$31=R25)*($Y$23:$Y$31=Y25)*($W$23:$W$31=W25)*($Z$23:$Z$31&gt;Z25))</f>
        <v>0</v>
      </c>
    </row>
    <row r="26" spans="1:31" x14ac:dyDescent="0.3">
      <c r="A26" t="str">
        <f t="shared" si="30"/>
        <v>Gesposs Geel</v>
      </c>
      <c r="C26">
        <f t="shared" si="34"/>
        <v>3</v>
      </c>
      <c r="D26">
        <v>0</v>
      </c>
      <c r="E26">
        <v>0</v>
      </c>
      <c r="F26">
        <v>3</v>
      </c>
      <c r="G26">
        <f t="shared" si="35"/>
        <v>0</v>
      </c>
      <c r="H26">
        <v>11</v>
      </c>
      <c r="I26">
        <v>27</v>
      </c>
      <c r="J26">
        <f t="shared" si="36"/>
        <v>-16</v>
      </c>
      <c r="P26">
        <f t="shared" si="37"/>
        <v>7</v>
      </c>
      <c r="Q26" t="str">
        <f t="shared" si="31"/>
        <v>Gesposs Geel</v>
      </c>
      <c r="R26">
        <f t="shared" si="32"/>
        <v>8</v>
      </c>
      <c r="S26">
        <f t="shared" si="38"/>
        <v>2</v>
      </c>
      <c r="T26">
        <f t="shared" si="38"/>
        <v>1</v>
      </c>
      <c r="U26">
        <f t="shared" si="38"/>
        <v>5</v>
      </c>
      <c r="V26">
        <f t="shared" si="38"/>
        <v>7</v>
      </c>
      <c r="W26">
        <f t="shared" si="38"/>
        <v>27</v>
      </c>
      <c r="X26">
        <f t="shared" si="38"/>
        <v>40</v>
      </c>
      <c r="Y26">
        <f t="shared" si="38"/>
        <v>-13</v>
      </c>
      <c r="Z26">
        <v>6</v>
      </c>
      <c r="AA26">
        <f t="shared" si="39"/>
        <v>7</v>
      </c>
      <c r="AB26" cm="1">
        <f t="array" ref="AB26">SUMPRODUCT(($V$23:$V$31=V26)*($R$23:$R$31&lt;R26))</f>
        <v>0</v>
      </c>
      <c r="AC26" cm="1">
        <f t="array" ref="AC26">SUMPRODUCT(($V$23:$V$31=V26)*($R$23:$R$31=R26)*($Y$23:$Y$31&gt;Y26))</f>
        <v>0</v>
      </c>
      <c r="AD26" cm="1">
        <f t="array" ref="AD26">SUMPRODUCT(($V$23:$V$31=V26)*($R$23:$R$31=R26)*($Y$23:$Y$31=Y26)*($W$23:$W$31&gt;W26))</f>
        <v>0</v>
      </c>
      <c r="AE26" cm="1">
        <f t="array" ref="AE26">SUMPRODUCT(($V$23:$V$31=V26)*($R$23:$R$31=R26)*($Y$23:$Y$31=Y26)*($W$23:$W$31=W26)*($Z$23:$Z$31&gt;Z26))</f>
        <v>0</v>
      </c>
    </row>
    <row r="27" spans="1:31" x14ac:dyDescent="0.3">
      <c r="A27" t="str">
        <f t="shared" si="30"/>
        <v>Gesposs Blauw</v>
      </c>
      <c r="C27">
        <f t="shared" si="34"/>
        <v>3</v>
      </c>
      <c r="D27">
        <v>2</v>
      </c>
      <c r="E27">
        <v>0</v>
      </c>
      <c r="F27">
        <v>1</v>
      </c>
      <c r="G27">
        <f t="shared" si="35"/>
        <v>6</v>
      </c>
      <c r="H27">
        <v>18</v>
      </c>
      <c r="I27">
        <v>13</v>
      </c>
      <c r="J27">
        <f t="shared" si="36"/>
        <v>5</v>
      </c>
      <c r="P27">
        <f t="shared" si="37"/>
        <v>3</v>
      </c>
      <c r="Q27" t="str">
        <f t="shared" si="31"/>
        <v>Gesposs Blauw</v>
      </c>
      <c r="R27">
        <f t="shared" si="32"/>
        <v>8</v>
      </c>
      <c r="S27">
        <f t="shared" si="38"/>
        <v>6</v>
      </c>
      <c r="T27">
        <f t="shared" si="38"/>
        <v>0</v>
      </c>
      <c r="U27">
        <f t="shared" si="38"/>
        <v>2</v>
      </c>
      <c r="V27">
        <f t="shared" si="38"/>
        <v>18</v>
      </c>
      <c r="W27">
        <f t="shared" si="38"/>
        <v>49</v>
      </c>
      <c r="X27">
        <f t="shared" si="38"/>
        <v>28</v>
      </c>
      <c r="Y27">
        <f t="shared" si="38"/>
        <v>21</v>
      </c>
      <c r="Z27">
        <v>5</v>
      </c>
      <c r="AA27">
        <f t="shared" si="39"/>
        <v>3</v>
      </c>
      <c r="AB27" cm="1">
        <f t="array" ref="AB27">SUMPRODUCT(($V$23:$V$31=V27)*($R$23:$R$31&lt;R27))</f>
        <v>0</v>
      </c>
      <c r="AC27" cm="1">
        <f t="array" ref="AC27">SUMPRODUCT(($V$23:$V$31=V27)*($R$23:$R$31=R27)*($Y$23:$Y$31&gt;Y27))</f>
        <v>0</v>
      </c>
      <c r="AD27" cm="1">
        <f t="array" ref="AD27">SUMPRODUCT(($V$23:$V$31=V27)*($R$23:$R$31=R27)*($Y$23:$Y$31=Y27)*($W$23:$W$31&gt;W27))</f>
        <v>0</v>
      </c>
      <c r="AE27" cm="1">
        <f t="array" ref="AE27">SUMPRODUCT(($V$23:$V$31=V27)*($R$23:$R$31=R27)*($Y$23:$Y$31=Y27)*($W$23:$W$31=W27)*($Z$23:$Z$31&gt;Z27))</f>
        <v>0</v>
      </c>
    </row>
    <row r="28" spans="1:31" x14ac:dyDescent="0.3">
      <c r="A28" t="str">
        <f t="shared" si="30"/>
        <v>SVG Den Bosch</v>
      </c>
      <c r="C28">
        <f t="shared" si="34"/>
        <v>3</v>
      </c>
      <c r="D28">
        <v>3</v>
      </c>
      <c r="E28">
        <v>0</v>
      </c>
      <c r="F28">
        <v>0</v>
      </c>
      <c r="G28">
        <f t="shared" si="35"/>
        <v>9</v>
      </c>
      <c r="H28">
        <v>29</v>
      </c>
      <c r="I28">
        <v>17</v>
      </c>
      <c r="J28">
        <f t="shared" si="36"/>
        <v>12</v>
      </c>
      <c r="P28">
        <f t="shared" si="37"/>
        <v>1</v>
      </c>
      <c r="Q28" t="str">
        <f t="shared" si="31"/>
        <v>SVG Den Bosch</v>
      </c>
      <c r="R28">
        <f t="shared" si="32"/>
        <v>8</v>
      </c>
      <c r="S28">
        <f t="shared" si="38"/>
        <v>8</v>
      </c>
      <c r="T28">
        <f t="shared" si="38"/>
        <v>0</v>
      </c>
      <c r="U28">
        <f t="shared" si="38"/>
        <v>0</v>
      </c>
      <c r="V28">
        <f t="shared" si="38"/>
        <v>24</v>
      </c>
      <c r="W28">
        <f t="shared" si="38"/>
        <v>53</v>
      </c>
      <c r="X28">
        <f t="shared" si="38"/>
        <v>27</v>
      </c>
      <c r="Y28">
        <f t="shared" si="38"/>
        <v>26</v>
      </c>
      <c r="Z28">
        <v>4</v>
      </c>
      <c r="AA28">
        <f t="shared" si="39"/>
        <v>1</v>
      </c>
      <c r="AB28" cm="1">
        <f t="array" ref="AB28">SUMPRODUCT(($V$23:$V$31=V28)*($R$23:$R$31&lt;R28))</f>
        <v>0</v>
      </c>
      <c r="AC28" cm="1">
        <f t="array" ref="AC28">SUMPRODUCT(($V$23:$V$31=V28)*($R$23:$R$31=R28)*($Y$23:$Y$31&gt;Y28))</f>
        <v>0</v>
      </c>
      <c r="AD28" cm="1">
        <f t="array" ref="AD28">SUMPRODUCT(($V$23:$V$31=V28)*($R$23:$R$31=R28)*($Y$23:$Y$31=Y28)*($W$23:$W$31&gt;W28))</f>
        <v>0</v>
      </c>
      <c r="AE28" cm="1">
        <f t="array" ref="AE28">SUMPRODUCT(($V$23:$V$31=V28)*($R$23:$R$31=R28)*($Y$23:$Y$31=Y28)*($W$23:$W$31=W28)*($Z$23:$Z$31&gt;Z28))</f>
        <v>0</v>
      </c>
    </row>
    <row r="29" spans="1:31" x14ac:dyDescent="0.3">
      <c r="A29" t="str">
        <f t="shared" si="30"/>
        <v>Aqua Novio</v>
      </c>
      <c r="C29">
        <f t="shared" si="34"/>
        <v>4</v>
      </c>
      <c r="D29">
        <v>0</v>
      </c>
      <c r="E29">
        <v>0</v>
      </c>
      <c r="F29">
        <v>4</v>
      </c>
      <c r="G29">
        <f t="shared" si="35"/>
        <v>0</v>
      </c>
      <c r="H29">
        <v>19</v>
      </c>
      <c r="I29">
        <v>40</v>
      </c>
      <c r="J29">
        <f t="shared" si="36"/>
        <v>-21</v>
      </c>
      <c r="P29">
        <f t="shared" si="37"/>
        <v>9</v>
      </c>
      <c r="Q29" t="str">
        <f t="shared" si="31"/>
        <v>Aqua Novio</v>
      </c>
      <c r="R29">
        <f t="shared" si="32"/>
        <v>8</v>
      </c>
      <c r="S29">
        <f t="shared" si="38"/>
        <v>1</v>
      </c>
      <c r="T29">
        <f t="shared" si="38"/>
        <v>0</v>
      </c>
      <c r="U29">
        <f t="shared" si="38"/>
        <v>7</v>
      </c>
      <c r="V29">
        <f t="shared" si="38"/>
        <v>3</v>
      </c>
      <c r="W29">
        <f t="shared" si="38"/>
        <v>35</v>
      </c>
      <c r="X29">
        <f t="shared" si="38"/>
        <v>70</v>
      </c>
      <c r="Y29">
        <f t="shared" si="38"/>
        <v>-35</v>
      </c>
      <c r="Z29">
        <v>3</v>
      </c>
      <c r="AA29">
        <f t="shared" si="39"/>
        <v>8</v>
      </c>
      <c r="AB29" cm="1">
        <f t="array" ref="AB29">SUMPRODUCT(($V$23:$V$31=V29)*($R$23:$R$31&lt;R29))</f>
        <v>0</v>
      </c>
      <c r="AC29" cm="1">
        <f t="array" ref="AC29">SUMPRODUCT(($V$23:$V$31=V29)*($R$23:$R$31=R29)*($Y$23:$Y$31&gt;Y29))</f>
        <v>1</v>
      </c>
      <c r="AD29" cm="1">
        <f t="array" ref="AD29">SUMPRODUCT(($V$23:$V$31=V29)*($R$23:$R$31=R29)*($Y$23:$Y$31=Y29)*($W$23:$W$31&gt;W29))</f>
        <v>0</v>
      </c>
      <c r="AE29" cm="1">
        <f t="array" ref="AE29">SUMPRODUCT(($V$23:$V$31=V29)*($R$23:$R$31=R29)*($Y$23:$Y$31=Y29)*($W$23:$W$31=W29)*($Z$23:$Z$31&gt;Z29))</f>
        <v>0</v>
      </c>
    </row>
    <row r="30" spans="1:31" x14ac:dyDescent="0.3">
      <c r="A30" t="str">
        <f t="shared" si="30"/>
        <v>De Tubanten 1</v>
      </c>
      <c r="C30">
        <f t="shared" si="34"/>
        <v>4</v>
      </c>
      <c r="D30">
        <v>4</v>
      </c>
      <c r="E30">
        <v>0</v>
      </c>
      <c r="F30">
        <v>0</v>
      </c>
      <c r="G30">
        <f t="shared" si="35"/>
        <v>12</v>
      </c>
      <c r="H30">
        <v>33</v>
      </c>
      <c r="I30">
        <v>12</v>
      </c>
      <c r="J30">
        <f t="shared" si="36"/>
        <v>21</v>
      </c>
      <c r="P30">
        <f t="shared" si="37"/>
        <v>2</v>
      </c>
      <c r="Q30" t="s">
        <v>165</v>
      </c>
      <c r="R30">
        <f t="shared" ref="R30:R31" si="40">C30+R9</f>
        <v>8</v>
      </c>
      <c r="S30">
        <f t="shared" ref="S30:Y30" si="41">D30+S9</f>
        <v>7</v>
      </c>
      <c r="T30">
        <f t="shared" si="41"/>
        <v>0</v>
      </c>
      <c r="U30">
        <f t="shared" si="41"/>
        <v>1</v>
      </c>
      <c r="V30">
        <f t="shared" si="41"/>
        <v>21</v>
      </c>
      <c r="W30">
        <f t="shared" si="41"/>
        <v>57</v>
      </c>
      <c r="X30">
        <f t="shared" si="41"/>
        <v>28</v>
      </c>
      <c r="Y30">
        <f t="shared" si="41"/>
        <v>29</v>
      </c>
      <c r="Z30">
        <v>2</v>
      </c>
      <c r="AA30">
        <f t="shared" si="39"/>
        <v>2</v>
      </c>
      <c r="AB30" cm="1">
        <f t="array" ref="AB30">SUMPRODUCT(($V$23:$V$31=V30)*($R$23:$R$31&lt;R30))</f>
        <v>0</v>
      </c>
      <c r="AC30" cm="1">
        <f t="array" ref="AC30">SUMPRODUCT(($V$23:$V$31=V30)*($R$23:$R$31=R30)*($Y$23:$Y$31&gt;Y30))</f>
        <v>0</v>
      </c>
      <c r="AD30" cm="1">
        <f t="array" ref="AD30">SUMPRODUCT(($V$23:$V$31=V30)*($R$23:$R$31=R30)*($Y$23:$Y$31=Y30)*($W$23:$W$31&gt;W30))</f>
        <v>0</v>
      </c>
      <c r="AE30" cm="1">
        <f t="array" ref="AE30">SUMPRODUCT(($V$23:$V$31=V30)*($R$23:$R$31=R30)*($Y$23:$Y$31=Y30)*($W$23:$W$31=W30)*($Z$23:$Z$31&gt;Z30))</f>
        <v>0</v>
      </c>
    </row>
    <row r="31" spans="1:31" x14ac:dyDescent="0.3">
      <c r="A31" t="str">
        <f t="shared" si="30"/>
        <v>De Tubanten 2</v>
      </c>
      <c r="C31">
        <f t="shared" si="34"/>
        <v>4</v>
      </c>
      <c r="D31">
        <v>2</v>
      </c>
      <c r="E31">
        <v>0</v>
      </c>
      <c r="F31">
        <v>2</v>
      </c>
      <c r="G31">
        <f t="shared" si="35"/>
        <v>6</v>
      </c>
      <c r="H31">
        <v>30</v>
      </c>
      <c r="I31">
        <v>27</v>
      </c>
      <c r="J31">
        <f t="shared" si="36"/>
        <v>3</v>
      </c>
      <c r="P31">
        <f t="shared" si="37"/>
        <v>5</v>
      </c>
      <c r="Q31" t="s">
        <v>166</v>
      </c>
      <c r="R31">
        <f t="shared" si="40"/>
        <v>8</v>
      </c>
      <c r="S31">
        <f t="shared" ref="S31:Y31" si="42">D31+S10</f>
        <v>3</v>
      </c>
      <c r="T31">
        <f t="shared" si="42"/>
        <v>0</v>
      </c>
      <c r="U31">
        <f t="shared" si="42"/>
        <v>5</v>
      </c>
      <c r="V31">
        <f t="shared" si="42"/>
        <v>9</v>
      </c>
      <c r="W31">
        <f t="shared" si="42"/>
        <v>43</v>
      </c>
      <c r="X31">
        <f t="shared" si="42"/>
        <v>47</v>
      </c>
      <c r="Y31">
        <f t="shared" si="42"/>
        <v>-4</v>
      </c>
      <c r="Z31">
        <v>1</v>
      </c>
      <c r="AA31">
        <f t="shared" si="39"/>
        <v>5</v>
      </c>
      <c r="AB31" cm="1">
        <f t="array" ref="AB31">SUMPRODUCT(($V$23:$V$31=V31)*($R$23:$R$31&lt;R31))</f>
        <v>0</v>
      </c>
      <c r="AC31" cm="1">
        <f t="array" ref="AC31">SUMPRODUCT(($V$23:$V$31=V31)*($R$23:$R$31=R31)*($Y$23:$Y$31&gt;Y31))</f>
        <v>0</v>
      </c>
      <c r="AD31" cm="1">
        <f t="array" ref="AD31">SUMPRODUCT(($V$23:$V$31=V31)*($R$23:$R$31=R31)*($Y$23:$Y$31=Y31)*($W$23:$W$31&gt;W31))</f>
        <v>0</v>
      </c>
      <c r="AE31" cm="1">
        <f t="array" ref="AE31">SUMPRODUCT(($V$23:$V$31=V31)*($R$23:$R$31=R31)*($Y$23:$Y$31=Y31)*($W$23:$W$31=W31)*($Z$23:$Z$31&gt;Z31))</f>
        <v>0</v>
      </c>
    </row>
    <row r="33" spans="16:25" x14ac:dyDescent="0.3">
      <c r="P33">
        <v>1</v>
      </c>
      <c r="Q33" t="str">
        <f>VLOOKUP(P33,$P$23:$Q$31,2,FALSE)</f>
        <v>SVG Den Bosch</v>
      </c>
      <c r="R33">
        <f>VLOOKUP($Q33,$Q$23:$Y$31,2,FALSE)</f>
        <v>8</v>
      </c>
      <c r="S33">
        <f>VLOOKUP($Q33,$Q$23:$Y$31,3,FALSE)</f>
        <v>8</v>
      </c>
      <c r="T33">
        <f>VLOOKUP($Q33,$Q$23:$Y$31,4,FALSE)</f>
        <v>0</v>
      </c>
      <c r="U33">
        <f>VLOOKUP($Q33,$Q$23:$Y$31,5,FALSE)</f>
        <v>0</v>
      </c>
      <c r="V33">
        <f>VLOOKUP($Q33,$Q$23:$Y$31,6,FALSE)</f>
        <v>24</v>
      </c>
      <c r="W33">
        <f>VLOOKUP($Q33,$Q$23:$Y$31,7,FALSE)</f>
        <v>53</v>
      </c>
      <c r="X33">
        <f>VLOOKUP($Q33,$Q$23:$Y$31,8,FALSE)</f>
        <v>27</v>
      </c>
      <c r="Y33">
        <f>VLOOKUP($Q33,$Q$23:$Y$31,9,FALSE)</f>
        <v>26</v>
      </c>
    </row>
    <row r="34" spans="16:25" x14ac:dyDescent="0.3">
      <c r="P34">
        <v>2</v>
      </c>
      <c r="Q34" t="str">
        <f t="shared" ref="Q34:Q41" si="43">VLOOKUP(P34,$P$23:$Q$31,2,FALSE)</f>
        <v>De Tubanten 1</v>
      </c>
      <c r="R34">
        <f t="shared" ref="R34:R41" si="44">VLOOKUP($Q34,$Q$23:$Y$31,2,FALSE)</f>
        <v>8</v>
      </c>
      <c r="S34">
        <f t="shared" ref="S34:S41" si="45">VLOOKUP($Q34,$Q$23:$Y$31,3,FALSE)</f>
        <v>7</v>
      </c>
      <c r="T34">
        <f t="shared" ref="T34:T41" si="46">VLOOKUP($Q34,$Q$23:$Y$31,4,FALSE)</f>
        <v>0</v>
      </c>
      <c r="U34">
        <f t="shared" ref="U34:U41" si="47">VLOOKUP($Q34,$Q$23:$Y$31,5,FALSE)</f>
        <v>1</v>
      </c>
      <c r="V34">
        <f t="shared" ref="V34:V41" si="48">VLOOKUP($Q34,$Q$23:$Y$31,6,FALSE)</f>
        <v>21</v>
      </c>
      <c r="W34">
        <f t="shared" ref="W34:W41" si="49">VLOOKUP($Q34,$Q$23:$Y$31,7,FALSE)</f>
        <v>57</v>
      </c>
      <c r="X34">
        <f t="shared" ref="X34:X41" si="50">VLOOKUP($Q34,$Q$23:$Y$31,8,FALSE)</f>
        <v>28</v>
      </c>
      <c r="Y34">
        <f t="shared" ref="Y34:Y41" si="51">VLOOKUP($Q34,$Q$23:$Y$31,9,FALSE)</f>
        <v>29</v>
      </c>
    </row>
    <row r="35" spans="16:25" x14ac:dyDescent="0.3">
      <c r="P35">
        <v>3</v>
      </c>
      <c r="Q35" t="str">
        <f t="shared" si="43"/>
        <v>Gesposs Blauw</v>
      </c>
      <c r="R35">
        <f t="shared" si="44"/>
        <v>8</v>
      </c>
      <c r="S35">
        <f t="shared" si="45"/>
        <v>6</v>
      </c>
      <c r="T35">
        <f t="shared" si="46"/>
        <v>0</v>
      </c>
      <c r="U35">
        <f t="shared" si="47"/>
        <v>2</v>
      </c>
      <c r="V35">
        <f t="shared" si="48"/>
        <v>18</v>
      </c>
      <c r="W35">
        <f t="shared" si="49"/>
        <v>49</v>
      </c>
      <c r="X35">
        <f t="shared" si="50"/>
        <v>28</v>
      </c>
      <c r="Y35">
        <f t="shared" si="51"/>
        <v>21</v>
      </c>
    </row>
    <row r="36" spans="16:25" x14ac:dyDescent="0.3">
      <c r="P36">
        <v>4</v>
      </c>
      <c r="Q36" t="str">
        <f t="shared" si="43"/>
        <v>VZ&amp;PC Nautilus 2</v>
      </c>
      <c r="R36">
        <f t="shared" si="44"/>
        <v>8</v>
      </c>
      <c r="S36">
        <f t="shared" si="45"/>
        <v>4</v>
      </c>
      <c r="T36">
        <f t="shared" si="46"/>
        <v>1</v>
      </c>
      <c r="U36">
        <f t="shared" si="47"/>
        <v>3</v>
      </c>
      <c r="V36">
        <f t="shared" si="48"/>
        <v>13</v>
      </c>
      <c r="W36">
        <f t="shared" si="49"/>
        <v>33</v>
      </c>
      <c r="X36">
        <f t="shared" si="50"/>
        <v>29</v>
      </c>
      <c r="Y36">
        <f t="shared" si="51"/>
        <v>4</v>
      </c>
    </row>
    <row r="37" spans="16:25" x14ac:dyDescent="0.3">
      <c r="P37">
        <v>5</v>
      </c>
      <c r="Q37" t="str">
        <f t="shared" si="43"/>
        <v>De Tubanten 2</v>
      </c>
      <c r="R37">
        <f t="shared" si="44"/>
        <v>8</v>
      </c>
      <c r="S37">
        <f t="shared" si="45"/>
        <v>3</v>
      </c>
      <c r="T37">
        <f t="shared" si="46"/>
        <v>0</v>
      </c>
      <c r="U37">
        <f t="shared" si="47"/>
        <v>5</v>
      </c>
      <c r="V37">
        <f t="shared" si="48"/>
        <v>9</v>
      </c>
      <c r="W37">
        <f t="shared" si="49"/>
        <v>43</v>
      </c>
      <c r="X37">
        <f t="shared" si="50"/>
        <v>47</v>
      </c>
      <c r="Y37">
        <f t="shared" si="51"/>
        <v>-4</v>
      </c>
    </row>
    <row r="38" spans="16:25" x14ac:dyDescent="0.3">
      <c r="P38">
        <v>6</v>
      </c>
      <c r="Q38" t="str">
        <f t="shared" si="43"/>
        <v>VZ&amp;PC Nautilus 1</v>
      </c>
      <c r="R38">
        <f t="shared" si="44"/>
        <v>8</v>
      </c>
      <c r="S38">
        <f t="shared" si="45"/>
        <v>3</v>
      </c>
      <c r="T38">
        <f t="shared" si="46"/>
        <v>0</v>
      </c>
      <c r="U38">
        <f t="shared" si="47"/>
        <v>5</v>
      </c>
      <c r="V38">
        <f t="shared" si="48"/>
        <v>9</v>
      </c>
      <c r="W38">
        <f t="shared" si="49"/>
        <v>30</v>
      </c>
      <c r="X38">
        <f t="shared" si="50"/>
        <v>38</v>
      </c>
      <c r="Y38">
        <f t="shared" si="51"/>
        <v>-8</v>
      </c>
    </row>
    <row r="39" spans="16:25" x14ac:dyDescent="0.3">
      <c r="P39">
        <v>7</v>
      </c>
      <c r="Q39" t="str">
        <f t="shared" si="43"/>
        <v>Gesposs Geel</v>
      </c>
      <c r="R39">
        <f t="shared" si="44"/>
        <v>8</v>
      </c>
      <c r="S39">
        <f t="shared" si="45"/>
        <v>2</v>
      </c>
      <c r="T39">
        <f t="shared" si="46"/>
        <v>1</v>
      </c>
      <c r="U39">
        <f t="shared" si="47"/>
        <v>5</v>
      </c>
      <c r="V39">
        <f t="shared" si="48"/>
        <v>7</v>
      </c>
      <c r="W39">
        <f t="shared" si="49"/>
        <v>27</v>
      </c>
      <c r="X39">
        <f t="shared" si="50"/>
        <v>40</v>
      </c>
      <c r="Y39">
        <f t="shared" si="51"/>
        <v>-13</v>
      </c>
    </row>
    <row r="40" spans="16:25" x14ac:dyDescent="0.3">
      <c r="P40">
        <v>8</v>
      </c>
      <c r="Q40" t="str">
        <f t="shared" si="43"/>
        <v>RZ Roermond</v>
      </c>
      <c r="R40">
        <f t="shared" si="44"/>
        <v>8</v>
      </c>
      <c r="S40">
        <f t="shared" si="45"/>
        <v>1</v>
      </c>
      <c r="T40">
        <f t="shared" si="46"/>
        <v>0</v>
      </c>
      <c r="U40">
        <f t="shared" si="47"/>
        <v>7</v>
      </c>
      <c r="V40">
        <f t="shared" si="48"/>
        <v>3</v>
      </c>
      <c r="W40">
        <f t="shared" si="49"/>
        <v>39</v>
      </c>
      <c r="X40">
        <f t="shared" si="50"/>
        <v>59</v>
      </c>
      <c r="Y40">
        <f t="shared" si="51"/>
        <v>-20</v>
      </c>
    </row>
    <row r="41" spans="16:25" x14ac:dyDescent="0.3">
      <c r="P41">
        <v>9</v>
      </c>
      <c r="Q41" t="str">
        <f t="shared" si="43"/>
        <v>Aqua Novio</v>
      </c>
      <c r="R41">
        <f t="shared" si="44"/>
        <v>8</v>
      </c>
      <c r="S41">
        <f t="shared" si="45"/>
        <v>1</v>
      </c>
      <c r="T41">
        <f t="shared" si="46"/>
        <v>0</v>
      </c>
      <c r="U41">
        <f t="shared" si="47"/>
        <v>7</v>
      </c>
      <c r="V41">
        <f t="shared" si="48"/>
        <v>3</v>
      </c>
      <c r="W41">
        <f t="shared" si="49"/>
        <v>35</v>
      </c>
      <c r="X41">
        <f t="shared" si="50"/>
        <v>70</v>
      </c>
      <c r="Y41">
        <f t="shared" si="51"/>
        <v>-35</v>
      </c>
    </row>
  </sheetData>
  <sheetProtection sheet="1" objects="1" scenarios="1"/>
  <mergeCells count="1">
    <mergeCell ref="B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IV52"/>
  <sheetViews>
    <sheetView topLeftCell="A3" workbookViewId="0">
      <selection activeCell="BF4" sqref="BF4:BI6"/>
    </sheetView>
  </sheetViews>
  <sheetFormatPr defaultRowHeight="13.8" x14ac:dyDescent="0.3"/>
  <cols>
    <col min="1" max="6" width="2.33203125" style="38" customWidth="1"/>
    <col min="7" max="7" width="3.33203125" style="38" customWidth="1"/>
    <col min="8" max="8" width="2.33203125" style="38" customWidth="1"/>
    <col min="9" max="9" width="3.33203125" style="38" customWidth="1"/>
    <col min="10" max="25" width="2.33203125" style="38" customWidth="1"/>
    <col min="26" max="28" width="2.109375" style="38" customWidth="1"/>
    <col min="29" max="29" width="3" style="38" customWidth="1"/>
    <col min="30" max="30" width="2.109375" style="39" customWidth="1"/>
    <col min="31" max="35" width="2.33203125" style="40" customWidth="1"/>
    <col min="36" max="39" width="2.33203125" style="38" customWidth="1"/>
    <col min="40" max="40" width="2.109375" style="38" customWidth="1"/>
    <col min="41" max="41" width="3.33203125" style="40" customWidth="1"/>
    <col min="42" max="43" width="2.109375" style="38" customWidth="1"/>
    <col min="44" max="44" width="3.33203125" style="40" customWidth="1"/>
    <col min="45" max="45" width="9.109375" style="38"/>
    <col min="46" max="56" width="9.109375" style="38" hidden="1" customWidth="1"/>
    <col min="57" max="57" width="9.109375" style="38" customWidth="1"/>
    <col min="58" max="62" width="9.109375" style="38"/>
    <col min="63" max="69" width="0" style="38" hidden="1" customWidth="1"/>
    <col min="70" max="256" width="9.109375" style="38"/>
    <col min="257" max="281" width="2.33203125" style="38" customWidth="1"/>
    <col min="282" max="286" width="2.109375" style="38" customWidth="1"/>
    <col min="287" max="295" width="2.33203125" style="38" customWidth="1"/>
    <col min="296" max="300" width="2.109375" style="38" customWidth="1"/>
    <col min="301" max="512" width="9.109375" style="38"/>
    <col min="513" max="537" width="2.33203125" style="38" customWidth="1"/>
    <col min="538" max="542" width="2.109375" style="38" customWidth="1"/>
    <col min="543" max="551" width="2.33203125" style="38" customWidth="1"/>
    <col min="552" max="556" width="2.109375" style="38" customWidth="1"/>
    <col min="557" max="768" width="9.109375" style="38"/>
    <col min="769" max="793" width="2.33203125" style="38" customWidth="1"/>
    <col min="794" max="798" width="2.109375" style="38" customWidth="1"/>
    <col min="799" max="807" width="2.33203125" style="38" customWidth="1"/>
    <col min="808" max="812" width="2.109375" style="38" customWidth="1"/>
    <col min="813" max="1024" width="9.109375" style="38"/>
    <col min="1025" max="1049" width="2.33203125" style="38" customWidth="1"/>
    <col min="1050" max="1054" width="2.109375" style="38" customWidth="1"/>
    <col min="1055" max="1063" width="2.33203125" style="38" customWidth="1"/>
    <col min="1064" max="1068" width="2.109375" style="38" customWidth="1"/>
    <col min="1069" max="1280" width="9.109375" style="38"/>
    <col min="1281" max="1305" width="2.33203125" style="38" customWidth="1"/>
    <col min="1306" max="1310" width="2.109375" style="38" customWidth="1"/>
    <col min="1311" max="1319" width="2.33203125" style="38" customWidth="1"/>
    <col min="1320" max="1324" width="2.109375" style="38" customWidth="1"/>
    <col min="1325" max="1536" width="9.109375" style="38"/>
    <col min="1537" max="1561" width="2.33203125" style="38" customWidth="1"/>
    <col min="1562" max="1566" width="2.109375" style="38" customWidth="1"/>
    <col min="1567" max="1575" width="2.33203125" style="38" customWidth="1"/>
    <col min="1576" max="1580" width="2.109375" style="38" customWidth="1"/>
    <col min="1581" max="1792" width="9.109375" style="38"/>
    <col min="1793" max="1817" width="2.33203125" style="38" customWidth="1"/>
    <col min="1818" max="1822" width="2.109375" style="38" customWidth="1"/>
    <col min="1823" max="1831" width="2.33203125" style="38" customWidth="1"/>
    <col min="1832" max="1836" width="2.109375" style="38" customWidth="1"/>
    <col min="1837" max="2048" width="9.109375" style="38"/>
    <col min="2049" max="2073" width="2.33203125" style="38" customWidth="1"/>
    <col min="2074" max="2078" width="2.109375" style="38" customWidth="1"/>
    <col min="2079" max="2087" width="2.33203125" style="38" customWidth="1"/>
    <col min="2088" max="2092" width="2.109375" style="38" customWidth="1"/>
    <col min="2093" max="2304" width="9.109375" style="38"/>
    <col min="2305" max="2329" width="2.33203125" style="38" customWidth="1"/>
    <col min="2330" max="2334" width="2.109375" style="38" customWidth="1"/>
    <col min="2335" max="2343" width="2.33203125" style="38" customWidth="1"/>
    <col min="2344" max="2348" width="2.109375" style="38" customWidth="1"/>
    <col min="2349" max="2560" width="9.109375" style="38"/>
    <col min="2561" max="2585" width="2.33203125" style="38" customWidth="1"/>
    <col min="2586" max="2590" width="2.109375" style="38" customWidth="1"/>
    <col min="2591" max="2599" width="2.33203125" style="38" customWidth="1"/>
    <col min="2600" max="2604" width="2.109375" style="38" customWidth="1"/>
    <col min="2605" max="2816" width="9.109375" style="38"/>
    <col min="2817" max="2841" width="2.33203125" style="38" customWidth="1"/>
    <col min="2842" max="2846" width="2.109375" style="38" customWidth="1"/>
    <col min="2847" max="2855" width="2.33203125" style="38" customWidth="1"/>
    <col min="2856" max="2860" width="2.109375" style="38" customWidth="1"/>
    <col min="2861" max="3072" width="9.109375" style="38"/>
    <col min="3073" max="3097" width="2.33203125" style="38" customWidth="1"/>
    <col min="3098" max="3102" width="2.109375" style="38" customWidth="1"/>
    <col min="3103" max="3111" width="2.33203125" style="38" customWidth="1"/>
    <col min="3112" max="3116" width="2.109375" style="38" customWidth="1"/>
    <col min="3117" max="3328" width="9.109375" style="38"/>
    <col min="3329" max="3353" width="2.33203125" style="38" customWidth="1"/>
    <col min="3354" max="3358" width="2.109375" style="38" customWidth="1"/>
    <col min="3359" max="3367" width="2.33203125" style="38" customWidth="1"/>
    <col min="3368" max="3372" width="2.109375" style="38" customWidth="1"/>
    <col min="3373" max="3584" width="9.109375" style="38"/>
    <col min="3585" max="3609" width="2.33203125" style="38" customWidth="1"/>
    <col min="3610" max="3614" width="2.109375" style="38" customWidth="1"/>
    <col min="3615" max="3623" width="2.33203125" style="38" customWidth="1"/>
    <col min="3624" max="3628" width="2.109375" style="38" customWidth="1"/>
    <col min="3629" max="3840" width="9.109375" style="38"/>
    <col min="3841" max="3865" width="2.33203125" style="38" customWidth="1"/>
    <col min="3866" max="3870" width="2.109375" style="38" customWidth="1"/>
    <col min="3871" max="3879" width="2.33203125" style="38" customWidth="1"/>
    <col min="3880" max="3884" width="2.109375" style="38" customWidth="1"/>
    <col min="3885" max="4096" width="9.109375" style="38"/>
    <col min="4097" max="4121" width="2.33203125" style="38" customWidth="1"/>
    <col min="4122" max="4126" width="2.109375" style="38" customWidth="1"/>
    <col min="4127" max="4135" width="2.33203125" style="38" customWidth="1"/>
    <col min="4136" max="4140" width="2.109375" style="38" customWidth="1"/>
    <col min="4141" max="4352" width="9.109375" style="38"/>
    <col min="4353" max="4377" width="2.33203125" style="38" customWidth="1"/>
    <col min="4378" max="4382" width="2.109375" style="38" customWidth="1"/>
    <col min="4383" max="4391" width="2.33203125" style="38" customWidth="1"/>
    <col min="4392" max="4396" width="2.109375" style="38" customWidth="1"/>
    <col min="4397" max="4608" width="9.109375" style="38"/>
    <col min="4609" max="4633" width="2.33203125" style="38" customWidth="1"/>
    <col min="4634" max="4638" width="2.109375" style="38" customWidth="1"/>
    <col min="4639" max="4647" width="2.33203125" style="38" customWidth="1"/>
    <col min="4648" max="4652" width="2.109375" style="38" customWidth="1"/>
    <col min="4653" max="4864" width="9.109375" style="38"/>
    <col min="4865" max="4889" width="2.33203125" style="38" customWidth="1"/>
    <col min="4890" max="4894" width="2.109375" style="38" customWidth="1"/>
    <col min="4895" max="4903" width="2.33203125" style="38" customWidth="1"/>
    <col min="4904" max="4908" width="2.109375" style="38" customWidth="1"/>
    <col min="4909" max="5120" width="9.109375" style="38"/>
    <col min="5121" max="5145" width="2.33203125" style="38" customWidth="1"/>
    <col min="5146" max="5150" width="2.109375" style="38" customWidth="1"/>
    <col min="5151" max="5159" width="2.33203125" style="38" customWidth="1"/>
    <col min="5160" max="5164" width="2.109375" style="38" customWidth="1"/>
    <col min="5165" max="5376" width="9.109375" style="38"/>
    <col min="5377" max="5401" width="2.33203125" style="38" customWidth="1"/>
    <col min="5402" max="5406" width="2.109375" style="38" customWidth="1"/>
    <col min="5407" max="5415" width="2.33203125" style="38" customWidth="1"/>
    <col min="5416" max="5420" width="2.109375" style="38" customWidth="1"/>
    <col min="5421" max="5632" width="9.109375" style="38"/>
    <col min="5633" max="5657" width="2.33203125" style="38" customWidth="1"/>
    <col min="5658" max="5662" width="2.109375" style="38" customWidth="1"/>
    <col min="5663" max="5671" width="2.33203125" style="38" customWidth="1"/>
    <col min="5672" max="5676" width="2.109375" style="38" customWidth="1"/>
    <col min="5677" max="5888" width="9.109375" style="38"/>
    <col min="5889" max="5913" width="2.33203125" style="38" customWidth="1"/>
    <col min="5914" max="5918" width="2.109375" style="38" customWidth="1"/>
    <col min="5919" max="5927" width="2.33203125" style="38" customWidth="1"/>
    <col min="5928" max="5932" width="2.109375" style="38" customWidth="1"/>
    <col min="5933" max="6144" width="9.109375" style="38"/>
    <col min="6145" max="6169" width="2.33203125" style="38" customWidth="1"/>
    <col min="6170" max="6174" width="2.109375" style="38" customWidth="1"/>
    <col min="6175" max="6183" width="2.33203125" style="38" customWidth="1"/>
    <col min="6184" max="6188" width="2.109375" style="38" customWidth="1"/>
    <col min="6189" max="6400" width="9.109375" style="38"/>
    <col min="6401" max="6425" width="2.33203125" style="38" customWidth="1"/>
    <col min="6426" max="6430" width="2.109375" style="38" customWidth="1"/>
    <col min="6431" max="6439" width="2.33203125" style="38" customWidth="1"/>
    <col min="6440" max="6444" width="2.109375" style="38" customWidth="1"/>
    <col min="6445" max="6656" width="9.109375" style="38"/>
    <col min="6657" max="6681" width="2.33203125" style="38" customWidth="1"/>
    <col min="6682" max="6686" width="2.109375" style="38" customWidth="1"/>
    <col min="6687" max="6695" width="2.33203125" style="38" customWidth="1"/>
    <col min="6696" max="6700" width="2.109375" style="38" customWidth="1"/>
    <col min="6701" max="6912" width="9.109375" style="38"/>
    <col min="6913" max="6937" width="2.33203125" style="38" customWidth="1"/>
    <col min="6938" max="6942" width="2.109375" style="38" customWidth="1"/>
    <col min="6943" max="6951" width="2.33203125" style="38" customWidth="1"/>
    <col min="6952" max="6956" width="2.109375" style="38" customWidth="1"/>
    <col min="6957" max="7168" width="9.109375" style="38"/>
    <col min="7169" max="7193" width="2.33203125" style="38" customWidth="1"/>
    <col min="7194" max="7198" width="2.109375" style="38" customWidth="1"/>
    <col min="7199" max="7207" width="2.33203125" style="38" customWidth="1"/>
    <col min="7208" max="7212" width="2.109375" style="38" customWidth="1"/>
    <col min="7213" max="7424" width="9.109375" style="38"/>
    <col min="7425" max="7449" width="2.33203125" style="38" customWidth="1"/>
    <col min="7450" max="7454" width="2.109375" style="38" customWidth="1"/>
    <col min="7455" max="7463" width="2.33203125" style="38" customWidth="1"/>
    <col min="7464" max="7468" width="2.109375" style="38" customWidth="1"/>
    <col min="7469" max="7680" width="9.109375" style="38"/>
    <col min="7681" max="7705" width="2.33203125" style="38" customWidth="1"/>
    <col min="7706" max="7710" width="2.109375" style="38" customWidth="1"/>
    <col min="7711" max="7719" width="2.33203125" style="38" customWidth="1"/>
    <col min="7720" max="7724" width="2.109375" style="38" customWidth="1"/>
    <col min="7725" max="7936" width="9.109375" style="38"/>
    <col min="7937" max="7961" width="2.33203125" style="38" customWidth="1"/>
    <col min="7962" max="7966" width="2.109375" style="38" customWidth="1"/>
    <col min="7967" max="7975" width="2.33203125" style="38" customWidth="1"/>
    <col min="7976" max="7980" width="2.109375" style="38" customWidth="1"/>
    <col min="7981" max="8192" width="9.109375" style="38"/>
    <col min="8193" max="8217" width="2.33203125" style="38" customWidth="1"/>
    <col min="8218" max="8222" width="2.109375" style="38" customWidth="1"/>
    <col min="8223" max="8231" width="2.33203125" style="38" customWidth="1"/>
    <col min="8232" max="8236" width="2.109375" style="38" customWidth="1"/>
    <col min="8237" max="8448" width="9.109375" style="38"/>
    <col min="8449" max="8473" width="2.33203125" style="38" customWidth="1"/>
    <col min="8474" max="8478" width="2.109375" style="38" customWidth="1"/>
    <col min="8479" max="8487" width="2.33203125" style="38" customWidth="1"/>
    <col min="8488" max="8492" width="2.109375" style="38" customWidth="1"/>
    <col min="8493" max="8704" width="9.109375" style="38"/>
    <col min="8705" max="8729" width="2.33203125" style="38" customWidth="1"/>
    <col min="8730" max="8734" width="2.109375" style="38" customWidth="1"/>
    <col min="8735" max="8743" width="2.33203125" style="38" customWidth="1"/>
    <col min="8744" max="8748" width="2.109375" style="38" customWidth="1"/>
    <col min="8749" max="8960" width="9.109375" style="38"/>
    <col min="8961" max="8985" width="2.33203125" style="38" customWidth="1"/>
    <col min="8986" max="8990" width="2.109375" style="38" customWidth="1"/>
    <col min="8991" max="8999" width="2.33203125" style="38" customWidth="1"/>
    <col min="9000" max="9004" width="2.109375" style="38" customWidth="1"/>
    <col min="9005" max="9216" width="9.109375" style="38"/>
    <col min="9217" max="9241" width="2.33203125" style="38" customWidth="1"/>
    <col min="9242" max="9246" width="2.109375" style="38" customWidth="1"/>
    <col min="9247" max="9255" width="2.33203125" style="38" customWidth="1"/>
    <col min="9256" max="9260" width="2.109375" style="38" customWidth="1"/>
    <col min="9261" max="9472" width="9.109375" style="38"/>
    <col min="9473" max="9497" width="2.33203125" style="38" customWidth="1"/>
    <col min="9498" max="9502" width="2.109375" style="38" customWidth="1"/>
    <col min="9503" max="9511" width="2.33203125" style="38" customWidth="1"/>
    <col min="9512" max="9516" width="2.109375" style="38" customWidth="1"/>
    <col min="9517" max="9728" width="9.109375" style="38"/>
    <col min="9729" max="9753" width="2.33203125" style="38" customWidth="1"/>
    <col min="9754" max="9758" width="2.109375" style="38" customWidth="1"/>
    <col min="9759" max="9767" width="2.33203125" style="38" customWidth="1"/>
    <col min="9768" max="9772" width="2.109375" style="38" customWidth="1"/>
    <col min="9773" max="9984" width="9.109375" style="38"/>
    <col min="9985" max="10009" width="2.33203125" style="38" customWidth="1"/>
    <col min="10010" max="10014" width="2.109375" style="38" customWidth="1"/>
    <col min="10015" max="10023" width="2.33203125" style="38" customWidth="1"/>
    <col min="10024" max="10028" width="2.109375" style="38" customWidth="1"/>
    <col min="10029" max="10240" width="9.109375" style="38"/>
    <col min="10241" max="10265" width="2.33203125" style="38" customWidth="1"/>
    <col min="10266" max="10270" width="2.109375" style="38" customWidth="1"/>
    <col min="10271" max="10279" width="2.33203125" style="38" customWidth="1"/>
    <col min="10280" max="10284" width="2.109375" style="38" customWidth="1"/>
    <col min="10285" max="10496" width="9.109375" style="38"/>
    <col min="10497" max="10521" width="2.33203125" style="38" customWidth="1"/>
    <col min="10522" max="10526" width="2.109375" style="38" customWidth="1"/>
    <col min="10527" max="10535" width="2.33203125" style="38" customWidth="1"/>
    <col min="10536" max="10540" width="2.109375" style="38" customWidth="1"/>
    <col min="10541" max="10752" width="9.109375" style="38"/>
    <col min="10753" max="10777" width="2.33203125" style="38" customWidth="1"/>
    <col min="10778" max="10782" width="2.109375" style="38" customWidth="1"/>
    <col min="10783" max="10791" width="2.33203125" style="38" customWidth="1"/>
    <col min="10792" max="10796" width="2.109375" style="38" customWidth="1"/>
    <col min="10797" max="11008" width="9.109375" style="38"/>
    <col min="11009" max="11033" width="2.33203125" style="38" customWidth="1"/>
    <col min="11034" max="11038" width="2.109375" style="38" customWidth="1"/>
    <col min="11039" max="11047" width="2.33203125" style="38" customWidth="1"/>
    <col min="11048" max="11052" width="2.109375" style="38" customWidth="1"/>
    <col min="11053" max="11264" width="9.109375" style="38"/>
    <col min="11265" max="11289" width="2.33203125" style="38" customWidth="1"/>
    <col min="11290" max="11294" width="2.109375" style="38" customWidth="1"/>
    <col min="11295" max="11303" width="2.33203125" style="38" customWidth="1"/>
    <col min="11304" max="11308" width="2.109375" style="38" customWidth="1"/>
    <col min="11309" max="11520" width="9.109375" style="38"/>
    <col min="11521" max="11545" width="2.33203125" style="38" customWidth="1"/>
    <col min="11546" max="11550" width="2.109375" style="38" customWidth="1"/>
    <col min="11551" max="11559" width="2.33203125" style="38" customWidth="1"/>
    <col min="11560" max="11564" width="2.109375" style="38" customWidth="1"/>
    <col min="11565" max="11776" width="9.109375" style="38"/>
    <col min="11777" max="11801" width="2.33203125" style="38" customWidth="1"/>
    <col min="11802" max="11806" width="2.109375" style="38" customWidth="1"/>
    <col min="11807" max="11815" width="2.33203125" style="38" customWidth="1"/>
    <col min="11816" max="11820" width="2.109375" style="38" customWidth="1"/>
    <col min="11821" max="12032" width="9.109375" style="38"/>
    <col min="12033" max="12057" width="2.33203125" style="38" customWidth="1"/>
    <col min="12058" max="12062" width="2.109375" style="38" customWidth="1"/>
    <col min="12063" max="12071" width="2.33203125" style="38" customWidth="1"/>
    <col min="12072" max="12076" width="2.109375" style="38" customWidth="1"/>
    <col min="12077" max="12288" width="9.109375" style="38"/>
    <col min="12289" max="12313" width="2.33203125" style="38" customWidth="1"/>
    <col min="12314" max="12318" width="2.109375" style="38" customWidth="1"/>
    <col min="12319" max="12327" width="2.33203125" style="38" customWidth="1"/>
    <col min="12328" max="12332" width="2.109375" style="38" customWidth="1"/>
    <col min="12333" max="12544" width="9.109375" style="38"/>
    <col min="12545" max="12569" width="2.33203125" style="38" customWidth="1"/>
    <col min="12570" max="12574" width="2.109375" style="38" customWidth="1"/>
    <col min="12575" max="12583" width="2.33203125" style="38" customWidth="1"/>
    <col min="12584" max="12588" width="2.109375" style="38" customWidth="1"/>
    <col min="12589" max="12800" width="9.109375" style="38"/>
    <col min="12801" max="12825" width="2.33203125" style="38" customWidth="1"/>
    <col min="12826" max="12830" width="2.109375" style="38" customWidth="1"/>
    <col min="12831" max="12839" width="2.33203125" style="38" customWidth="1"/>
    <col min="12840" max="12844" width="2.109375" style="38" customWidth="1"/>
    <col min="12845" max="13056" width="9.109375" style="38"/>
    <col min="13057" max="13081" width="2.33203125" style="38" customWidth="1"/>
    <col min="13082" max="13086" width="2.109375" style="38" customWidth="1"/>
    <col min="13087" max="13095" width="2.33203125" style="38" customWidth="1"/>
    <col min="13096" max="13100" width="2.109375" style="38" customWidth="1"/>
    <col min="13101" max="13312" width="9.109375" style="38"/>
    <col min="13313" max="13337" width="2.33203125" style="38" customWidth="1"/>
    <col min="13338" max="13342" width="2.109375" style="38" customWidth="1"/>
    <col min="13343" max="13351" width="2.33203125" style="38" customWidth="1"/>
    <col min="13352" max="13356" width="2.109375" style="38" customWidth="1"/>
    <col min="13357" max="13568" width="9.109375" style="38"/>
    <col min="13569" max="13593" width="2.33203125" style="38" customWidth="1"/>
    <col min="13594" max="13598" width="2.109375" style="38" customWidth="1"/>
    <col min="13599" max="13607" width="2.33203125" style="38" customWidth="1"/>
    <col min="13608" max="13612" width="2.109375" style="38" customWidth="1"/>
    <col min="13613" max="13824" width="9.109375" style="38"/>
    <col min="13825" max="13849" width="2.33203125" style="38" customWidth="1"/>
    <col min="13850" max="13854" width="2.109375" style="38" customWidth="1"/>
    <col min="13855" max="13863" width="2.33203125" style="38" customWidth="1"/>
    <col min="13864" max="13868" width="2.109375" style="38" customWidth="1"/>
    <col min="13869" max="14080" width="9.109375" style="38"/>
    <col min="14081" max="14105" width="2.33203125" style="38" customWidth="1"/>
    <col min="14106" max="14110" width="2.109375" style="38" customWidth="1"/>
    <col min="14111" max="14119" width="2.33203125" style="38" customWidth="1"/>
    <col min="14120" max="14124" width="2.109375" style="38" customWidth="1"/>
    <col min="14125" max="14336" width="9.109375" style="38"/>
    <col min="14337" max="14361" width="2.33203125" style="38" customWidth="1"/>
    <col min="14362" max="14366" width="2.109375" style="38" customWidth="1"/>
    <col min="14367" max="14375" width="2.33203125" style="38" customWidth="1"/>
    <col min="14376" max="14380" width="2.109375" style="38" customWidth="1"/>
    <col min="14381" max="14592" width="9.109375" style="38"/>
    <col min="14593" max="14617" width="2.33203125" style="38" customWidth="1"/>
    <col min="14618" max="14622" width="2.109375" style="38" customWidth="1"/>
    <col min="14623" max="14631" width="2.33203125" style="38" customWidth="1"/>
    <col min="14632" max="14636" width="2.109375" style="38" customWidth="1"/>
    <col min="14637" max="14848" width="9.109375" style="38"/>
    <col min="14849" max="14873" width="2.33203125" style="38" customWidth="1"/>
    <col min="14874" max="14878" width="2.109375" style="38" customWidth="1"/>
    <col min="14879" max="14887" width="2.33203125" style="38" customWidth="1"/>
    <col min="14888" max="14892" width="2.109375" style="38" customWidth="1"/>
    <col min="14893" max="15104" width="9.109375" style="38"/>
    <col min="15105" max="15129" width="2.33203125" style="38" customWidth="1"/>
    <col min="15130" max="15134" width="2.109375" style="38" customWidth="1"/>
    <col min="15135" max="15143" width="2.33203125" style="38" customWidth="1"/>
    <col min="15144" max="15148" width="2.109375" style="38" customWidth="1"/>
    <col min="15149" max="15360" width="9.109375" style="38"/>
    <col min="15361" max="15385" width="2.33203125" style="38" customWidth="1"/>
    <col min="15386" max="15390" width="2.109375" style="38" customWidth="1"/>
    <col min="15391" max="15399" width="2.33203125" style="38" customWidth="1"/>
    <col min="15400" max="15404" width="2.109375" style="38" customWidth="1"/>
    <col min="15405" max="15616" width="9.109375" style="38"/>
    <col min="15617" max="15641" width="2.33203125" style="38" customWidth="1"/>
    <col min="15642" max="15646" width="2.109375" style="38" customWidth="1"/>
    <col min="15647" max="15655" width="2.33203125" style="38" customWidth="1"/>
    <col min="15656" max="15660" width="2.109375" style="38" customWidth="1"/>
    <col min="15661" max="15872" width="9.109375" style="38"/>
    <col min="15873" max="15897" width="2.33203125" style="38" customWidth="1"/>
    <col min="15898" max="15902" width="2.109375" style="38" customWidth="1"/>
    <col min="15903" max="15911" width="2.33203125" style="38" customWidth="1"/>
    <col min="15912" max="15916" width="2.109375" style="38" customWidth="1"/>
    <col min="15917" max="16128" width="9.109375" style="38"/>
    <col min="16129" max="16153" width="2.33203125" style="38" customWidth="1"/>
    <col min="16154" max="16158" width="2.109375" style="38" customWidth="1"/>
    <col min="16159" max="16167" width="2.33203125" style="38" customWidth="1"/>
    <col min="16168" max="16172" width="2.109375" style="38" customWidth="1"/>
    <col min="16173" max="16384" width="9.109375" style="38"/>
  </cols>
  <sheetData>
    <row r="1" spans="1:256" ht="20.399999999999999" x14ac:dyDescent="0.3">
      <c r="A1" s="37" t="s">
        <v>40</v>
      </c>
      <c r="AO1" s="41">
        <v>0</v>
      </c>
      <c r="AP1" s="42"/>
      <c r="AQ1" s="42"/>
      <c r="AR1" s="41">
        <v>0</v>
      </c>
      <c r="AV1" s="43">
        <v>1.3888888888888888E-2</v>
      </c>
    </row>
    <row r="2" spans="1:256" x14ac:dyDescent="0.3">
      <c r="A2" s="38" t="s">
        <v>42</v>
      </c>
      <c r="E2" s="38" t="s">
        <v>76</v>
      </c>
      <c r="P2" s="44" t="s">
        <v>22</v>
      </c>
      <c r="Q2" s="45"/>
      <c r="R2" s="45"/>
      <c r="S2" s="45"/>
      <c r="T2" s="45"/>
      <c r="U2" s="45"/>
      <c r="V2" s="45"/>
      <c r="W2" s="45" t="s">
        <v>3</v>
      </c>
      <c r="X2" s="45"/>
      <c r="Y2" s="46" t="s">
        <v>41</v>
      </c>
      <c r="Z2" s="45"/>
      <c r="AA2" s="45"/>
      <c r="AB2" s="45"/>
      <c r="AC2" s="45"/>
      <c r="AD2" s="47"/>
      <c r="AE2" s="48"/>
      <c r="AF2" s="48"/>
      <c r="AG2" s="49"/>
    </row>
    <row r="3" spans="1:256" ht="15" thickBot="1" x14ac:dyDescent="0.35">
      <c r="A3" s="38" t="s">
        <v>19</v>
      </c>
      <c r="D3" s="415">
        <f>Wedstrijden!I2</f>
        <v>45732</v>
      </c>
      <c r="E3" s="416"/>
      <c r="F3" s="416"/>
      <c r="G3" s="416"/>
      <c r="H3" s="416"/>
      <c r="I3" s="416"/>
      <c r="J3" s="416"/>
      <c r="K3" s="416"/>
      <c r="L3" s="416"/>
      <c r="M3" s="416"/>
      <c r="N3" s="417"/>
      <c r="P3" s="50" t="s">
        <v>18</v>
      </c>
      <c r="Q3" s="51" t="s">
        <v>43</v>
      </c>
      <c r="W3" s="38" t="s">
        <v>0</v>
      </c>
      <c r="Y3" s="51" t="s">
        <v>44</v>
      </c>
      <c r="AG3" s="52"/>
    </row>
    <row r="4" spans="1:256" x14ac:dyDescent="0.3">
      <c r="A4" s="38" t="s">
        <v>20</v>
      </c>
      <c r="D4" s="418">
        <v>1</v>
      </c>
      <c r="E4" s="418"/>
      <c r="F4" s="53"/>
      <c r="G4" s="419">
        <f>VLOOKUP(D4,Wedstrijden!A6:B57,2,0)</f>
        <v>0.52083333333333337</v>
      </c>
      <c r="H4" s="419"/>
      <c r="I4" s="419"/>
      <c r="J4" s="54" t="s">
        <v>16</v>
      </c>
      <c r="K4" s="419">
        <f>G4+AV1</f>
        <v>0.53472222222222221</v>
      </c>
      <c r="L4" s="419"/>
      <c r="M4" s="419"/>
      <c r="N4" s="53"/>
      <c r="P4" s="50" t="s">
        <v>17</v>
      </c>
      <c r="Q4" s="51" t="s">
        <v>45</v>
      </c>
      <c r="W4" s="38" t="s">
        <v>9</v>
      </c>
      <c r="Y4" s="51" t="s">
        <v>46</v>
      </c>
      <c r="AG4" s="52"/>
      <c r="BF4" s="406" t="s">
        <v>102</v>
      </c>
      <c r="BG4" s="407"/>
      <c r="BH4" s="407"/>
      <c r="BI4" s="408"/>
    </row>
    <row r="5" spans="1:256" x14ac:dyDescent="0.3">
      <c r="A5" s="38" t="s">
        <v>164</v>
      </c>
      <c r="D5" s="260" t="str">
        <f>VLOOKUP(D4,Wedstrijden!A6:D20,4,0)</f>
        <v>A</v>
      </c>
      <c r="P5" s="50" t="s">
        <v>10</v>
      </c>
      <c r="Q5" s="51" t="s">
        <v>47</v>
      </c>
      <c r="W5" s="38" t="s">
        <v>12</v>
      </c>
      <c r="Y5" s="51" t="s">
        <v>48</v>
      </c>
      <c r="AG5" s="52"/>
      <c r="BF5" s="409"/>
      <c r="BG5" s="410"/>
      <c r="BH5" s="410"/>
      <c r="BI5" s="411"/>
    </row>
    <row r="6" spans="1:256" ht="14.4" thickBot="1" x14ac:dyDescent="0.2">
      <c r="A6" s="38" t="s">
        <v>21</v>
      </c>
      <c r="D6" s="55" t="str">
        <f>Wedstrijden!K2</f>
        <v>Den Bosch</v>
      </c>
      <c r="P6" s="50" t="s">
        <v>11</v>
      </c>
      <c r="Q6" s="51" t="s">
        <v>49</v>
      </c>
      <c r="W6" s="38" t="s">
        <v>13</v>
      </c>
      <c r="Y6" s="51" t="s">
        <v>50</v>
      </c>
      <c r="AG6" s="52"/>
      <c r="AH6" s="354" t="s">
        <v>51</v>
      </c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BF6" s="412"/>
      <c r="BG6" s="413"/>
      <c r="BH6" s="413"/>
      <c r="BI6" s="414"/>
    </row>
    <row r="7" spans="1:256" x14ac:dyDescent="0.2">
      <c r="A7" s="56" t="s">
        <v>52</v>
      </c>
      <c r="B7" s="57"/>
      <c r="C7" s="57"/>
      <c r="D7" s="57"/>
      <c r="E7" s="58" t="s">
        <v>53</v>
      </c>
      <c r="F7" s="57"/>
      <c r="G7" s="59" t="str">
        <f>VLOOKUP(D4,Wedstrijden!A6:L57,5,0)</f>
        <v>VZ&amp;PC Nautilus 1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 t="s">
        <v>54</v>
      </c>
      <c r="X7" s="57"/>
      <c r="Y7" s="57"/>
      <c r="Z7" s="58" t="s">
        <v>55</v>
      </c>
      <c r="AA7" s="58"/>
      <c r="AB7" s="57"/>
      <c r="AC7" s="59" t="str">
        <f>VLOOKUP(D4,Wedstrijden!A6:L57,9,0)</f>
        <v>RZ Roermond</v>
      </c>
      <c r="AD7" s="60"/>
      <c r="AE7" s="61"/>
      <c r="AF7" s="61"/>
      <c r="AG7" s="61"/>
      <c r="AH7" s="61"/>
      <c r="AI7" s="61"/>
      <c r="AJ7" s="57"/>
      <c r="AK7" s="57"/>
      <c r="AL7" s="57"/>
      <c r="AM7" s="57"/>
      <c r="AN7" s="57"/>
      <c r="AO7" s="61"/>
      <c r="AP7" s="57"/>
      <c r="AQ7" s="57"/>
      <c r="AR7" s="62"/>
    </row>
    <row r="8" spans="1:256" x14ac:dyDescent="0.3">
      <c r="A8" s="63" t="s">
        <v>56</v>
      </c>
      <c r="B8" s="64"/>
      <c r="C8" s="64"/>
      <c r="D8" s="64"/>
      <c r="E8" s="64"/>
      <c r="F8" s="64"/>
      <c r="G8" s="64"/>
      <c r="H8" s="64"/>
      <c r="I8" s="64"/>
      <c r="J8" s="65" t="str">
        <f>VLOOKUP(D4,Wedstrijden!A6:P343,13,0)</f>
        <v>Hans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 t="s">
        <v>57</v>
      </c>
      <c r="X8" s="64"/>
      <c r="Y8" s="64"/>
      <c r="Z8" s="66" t="str">
        <f>VLOOKUP(D4,Wedstrijden!A6:N170,14,0)</f>
        <v>Kiki</v>
      </c>
      <c r="AA8" s="64"/>
      <c r="AB8" s="64"/>
      <c r="AC8" s="64"/>
      <c r="AD8" s="67"/>
      <c r="AE8" s="68"/>
      <c r="AF8" s="68"/>
      <c r="AG8" s="68"/>
      <c r="AH8" s="68"/>
      <c r="AI8" s="68"/>
      <c r="AJ8" s="69" t="s">
        <v>17</v>
      </c>
      <c r="AK8" s="64"/>
      <c r="AL8" s="64"/>
      <c r="AM8" s="64"/>
      <c r="AN8" s="64"/>
      <c r="AO8" s="68"/>
      <c r="AP8" s="64"/>
      <c r="AQ8" s="64"/>
      <c r="AR8" s="70"/>
    </row>
    <row r="9" spans="1:256" ht="14.4" thickBot="1" x14ac:dyDescent="0.35">
      <c r="A9" s="71" t="s">
        <v>58</v>
      </c>
      <c r="B9" s="72"/>
      <c r="C9" s="72"/>
      <c r="D9" s="72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 t="s">
        <v>59</v>
      </c>
      <c r="X9" s="72"/>
      <c r="Y9" s="72"/>
      <c r="Z9" s="72"/>
      <c r="AA9" s="72"/>
      <c r="AB9" s="73"/>
      <c r="AC9" s="73"/>
      <c r="AD9" s="75"/>
      <c r="AE9" s="76"/>
      <c r="AF9" s="76"/>
      <c r="AG9" s="76"/>
      <c r="AH9" s="76"/>
      <c r="AI9" s="76"/>
      <c r="AJ9" s="73"/>
      <c r="AK9" s="73"/>
      <c r="AL9" s="73"/>
      <c r="AM9" s="73"/>
      <c r="AN9" s="73"/>
      <c r="AO9" s="76"/>
      <c r="AP9" s="73"/>
      <c r="AQ9" s="73"/>
      <c r="AR9" s="77"/>
    </row>
    <row r="10" spans="1:256" ht="15" x14ac:dyDescent="0.3">
      <c r="A10" s="78" t="s">
        <v>60</v>
      </c>
      <c r="B10" s="79"/>
      <c r="C10" s="79"/>
      <c r="D10" s="79"/>
      <c r="E10" s="79"/>
      <c r="F10" s="356" t="str">
        <f>+G7</f>
        <v>VZ&amp;PC Nautilus 1</v>
      </c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7"/>
      <c r="Z10" s="362" t="s">
        <v>8</v>
      </c>
      <c r="AA10" s="363"/>
      <c r="AB10" s="363"/>
      <c r="AC10" s="363"/>
      <c r="AD10" s="364"/>
      <c r="AE10" s="80"/>
      <c r="AF10" s="80"/>
      <c r="AG10" s="80"/>
      <c r="AH10" s="80" t="s">
        <v>61</v>
      </c>
      <c r="AI10" s="80" t="s">
        <v>61</v>
      </c>
      <c r="AJ10" s="371" t="s">
        <v>14</v>
      </c>
      <c r="AK10" s="372"/>
      <c r="AL10" s="377" t="s">
        <v>62</v>
      </c>
      <c r="AM10" s="378"/>
      <c r="AN10" s="383" t="s">
        <v>15</v>
      </c>
      <c r="AO10" s="384"/>
      <c r="AP10" s="384"/>
      <c r="AQ10" s="384"/>
      <c r="AR10" s="385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2" t="s">
        <v>136</v>
      </c>
      <c r="BL10" s="82" t="str">
        <f>CONCATENATE($BL$12&amp;BK10&amp;"x")</f>
        <v>swwx</v>
      </c>
      <c r="BM10" s="82" t="str">
        <f>CONCATENATE($BM$12&amp;BK10&amp;"x")</f>
        <v>dwx</v>
      </c>
      <c r="BN10" s="82" t="str">
        <f>CONCATENATE($BN$12&amp;BK10&amp;"x")</f>
        <v>pwx</v>
      </c>
      <c r="BO10" s="82" t="str">
        <f>CONCATENATE($BO$12&amp;BK10&amp;"x")</f>
        <v>umvwx</v>
      </c>
      <c r="BP10" s="82" t="str">
        <f>CONCATENATE($BP$12&amp;BK10&amp;"x")</f>
        <v>uzvwx</v>
      </c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1" spans="1:256" x14ac:dyDescent="0.3">
      <c r="A11" s="393" t="s">
        <v>7</v>
      </c>
      <c r="B11" s="394"/>
      <c r="C11" s="394"/>
      <c r="D11" s="394"/>
      <c r="E11" s="81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  <c r="Z11" s="365"/>
      <c r="AA11" s="366"/>
      <c r="AB11" s="366"/>
      <c r="AC11" s="366"/>
      <c r="AD11" s="367"/>
      <c r="AE11" s="83" t="s">
        <v>63</v>
      </c>
      <c r="AF11" s="83"/>
      <c r="AG11" s="83"/>
      <c r="AH11" s="83" t="s">
        <v>64</v>
      </c>
      <c r="AI11" s="83" t="s">
        <v>65</v>
      </c>
      <c r="AJ11" s="373"/>
      <c r="AK11" s="374"/>
      <c r="AL11" s="379"/>
      <c r="AM11" s="380"/>
      <c r="AN11" s="386"/>
      <c r="AO11" s="387"/>
      <c r="AP11" s="387"/>
      <c r="AQ11" s="387"/>
      <c r="AR11" s="388"/>
      <c r="AS11" s="81"/>
      <c r="AT11" s="81"/>
      <c r="AU11" s="81" t="s">
        <v>17</v>
      </c>
      <c r="AV11" s="81" t="s">
        <v>18</v>
      </c>
      <c r="AW11" s="81" t="s">
        <v>77</v>
      </c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2" t="s">
        <v>142</v>
      </c>
      <c r="BL11" s="82" t="str">
        <f>CONCATENATE($BL$12&amp;BK11&amp;"x")</f>
        <v>swbx</v>
      </c>
      <c r="BM11" s="82" t="str">
        <f>CONCATENATE($BM$12&amp;BK11&amp;"x")</f>
        <v>dbx</v>
      </c>
      <c r="BN11" s="82" t="str">
        <f>CONCATENATE($BN$12&amp;BK11&amp;"x")</f>
        <v>pbx</v>
      </c>
      <c r="BO11" s="82" t="str">
        <f>CONCATENATE($BO$12&amp;BK11&amp;"x")</f>
        <v>umvbx</v>
      </c>
      <c r="BP11" s="82" t="str">
        <f>CONCATENATE($BP$12&amp;BK11&amp;"x")</f>
        <v>uzvbx</v>
      </c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</row>
    <row r="12" spans="1:256" ht="18" x14ac:dyDescent="0.35">
      <c r="A12" s="395"/>
      <c r="B12" s="396"/>
      <c r="C12" s="396"/>
      <c r="D12" s="394"/>
      <c r="E12" s="81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1"/>
      <c r="Z12" s="368"/>
      <c r="AA12" s="369"/>
      <c r="AB12" s="369"/>
      <c r="AC12" s="369"/>
      <c r="AD12" s="370"/>
      <c r="AE12" s="84" t="s">
        <v>17</v>
      </c>
      <c r="AF12" s="84" t="s">
        <v>10</v>
      </c>
      <c r="AG12" s="84" t="s">
        <v>11</v>
      </c>
      <c r="AH12" s="84" t="s">
        <v>66</v>
      </c>
      <c r="AI12" s="84" t="s">
        <v>66</v>
      </c>
      <c r="AJ12" s="375"/>
      <c r="AK12" s="376"/>
      <c r="AL12" s="381"/>
      <c r="AM12" s="382"/>
      <c r="AN12" s="389" t="s">
        <v>17</v>
      </c>
      <c r="AO12" s="369"/>
      <c r="AP12" s="85"/>
      <c r="AQ12" s="369" t="s">
        <v>18</v>
      </c>
      <c r="AR12" s="390"/>
      <c r="AS12" s="81"/>
      <c r="AT12" s="81"/>
      <c r="AU12" s="81" t="s">
        <v>78</v>
      </c>
      <c r="AV12" s="81" t="s">
        <v>79</v>
      </c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 t="s">
        <v>138</v>
      </c>
      <c r="BM12" s="81" t="s">
        <v>139</v>
      </c>
      <c r="BN12" s="81" t="s">
        <v>79</v>
      </c>
      <c r="BO12" s="81" t="s">
        <v>140</v>
      </c>
      <c r="BP12" s="81" t="s">
        <v>141</v>
      </c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</row>
    <row r="13" spans="1:256" ht="15.6" x14ac:dyDescent="0.3">
      <c r="A13" s="86" t="s">
        <v>0</v>
      </c>
      <c r="B13" s="87" t="s">
        <v>1</v>
      </c>
      <c r="C13" s="88"/>
      <c r="D13" s="89"/>
      <c r="E13" s="88" t="s">
        <v>2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90"/>
      <c r="V13" s="91" t="s">
        <v>3</v>
      </c>
      <c r="W13" s="91" t="s">
        <v>4</v>
      </c>
      <c r="X13" s="91" t="s">
        <v>5</v>
      </c>
      <c r="Y13" s="92" t="s">
        <v>6</v>
      </c>
      <c r="Z13" s="93"/>
      <c r="AA13" s="94">
        <v>0</v>
      </c>
      <c r="AB13" s="95" t="s">
        <v>16</v>
      </c>
      <c r="AC13" s="94">
        <v>3</v>
      </c>
      <c r="AD13" s="96">
        <v>6</v>
      </c>
      <c r="AE13" s="97"/>
      <c r="AF13" s="97"/>
      <c r="AG13" s="98" t="s">
        <v>265</v>
      </c>
      <c r="AH13" s="99"/>
      <c r="AI13" s="99"/>
      <c r="AJ13" s="391" t="s">
        <v>17</v>
      </c>
      <c r="AK13" s="392"/>
      <c r="AL13" s="401">
        <v>10</v>
      </c>
      <c r="AM13" s="402"/>
      <c r="AN13" s="100"/>
      <c r="AO13" s="101">
        <f>IF(BQ13="","",IF(BQ13=$BL$10,"2"+AO1,IF(BQ13=$BM$10,"1"+AO1,IF(BQ13=$BN$10,"0"+AO1,IF(BQ13=$BO$10,"0"+AO1,IF(BQ13=$BP$10,"0"+AO1,"0"+AO1))))))</f>
        <v>1</v>
      </c>
      <c r="AP13" s="95" t="s">
        <v>16</v>
      </c>
      <c r="AQ13" s="102"/>
      <c r="AR13" s="103">
        <f>IF(BQ13="","",IF(BQ13=$BL$11,"2"+AR1,IF(BQ13=$BM$11,"1"+AR1,IF(BQ13=$BN$11,"0"+AR1,IF(BQ13=$BO$11,"0"+AR1,IF(BQ13=$BP$11,"0"+AR1,"0"+AR1))))))</f>
        <v>0</v>
      </c>
      <c r="AY13" s="38" t="str">
        <f>CONCATENATE(AJ13&amp;AL13)</f>
        <v>W10</v>
      </c>
      <c r="AZ13" s="38" t="str">
        <f>IF(AE13=$AW$11,"2","0")</f>
        <v>0</v>
      </c>
      <c r="BA13" s="38" t="str">
        <f>IF(AG13=$AW$11,"1","0")</f>
        <v>1</v>
      </c>
      <c r="BB13" s="38" t="str">
        <f>IF(AF13=$AW$11,"1","0")</f>
        <v>0</v>
      </c>
      <c r="BC13" s="38">
        <f>AZ13+BA13</f>
        <v>1</v>
      </c>
      <c r="BD13" s="38">
        <f>BB13+0</f>
        <v>0</v>
      </c>
      <c r="BL13" s="38" t="str">
        <f>IF(AE13="","",CONCATENATE($BL$12&amp;AJ13&amp;AE13))</f>
        <v/>
      </c>
      <c r="BM13" s="38" t="str">
        <f>IF(AG13="","",CONCATENATE($BM$12&amp;AJ13&amp;AG13))</f>
        <v>dWX</v>
      </c>
      <c r="BN13" s="38" t="str">
        <f>IF(AF13="","",CONCATENATE($BN$12&amp;AJ13,AF13))</f>
        <v/>
      </c>
      <c r="BO13" s="38" t="str">
        <f>IF(AH13="","",CONCATENATE($BO$12&amp;AJ13&amp;AH13))</f>
        <v/>
      </c>
      <c r="BP13" s="38" t="str">
        <f>IF(AI13="","",CONCATENATE($BP$12&amp;AJ13&amp;AI13))</f>
        <v/>
      </c>
      <c r="BQ13" s="38" t="str">
        <f>CONCATENATE(BL13&amp;BM13&amp;BN13&amp;BO13&amp;BP13)</f>
        <v>dWX</v>
      </c>
    </row>
    <row r="14" spans="1:256" ht="15.6" x14ac:dyDescent="0.3">
      <c r="A14" s="104" t="s">
        <v>265</v>
      </c>
      <c r="B14" s="397">
        <f>IF(ISBLANK(HLOOKUP($F$10,spelerslijsten!$B$1:$J$22,4,FALSE)),"",HLOOKUP($F$10,spelerslijsten!$B$1:$J$22,4,FALSE))</f>
        <v>2</v>
      </c>
      <c r="C14" s="398"/>
      <c r="D14" s="105"/>
      <c r="E14" s="106" t="str">
        <f>IF(ISBLANK(HLOOKUP($F$10,spelerslijsten!$B$1:$J$22,3,FALSE)),"",HLOOKUP($F$10,spelerslijsten!$B$1:$J$22,3,FALSE))</f>
        <v>Corne Braken</v>
      </c>
      <c r="F14" s="107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8">
        <f t="shared" ref="V14:V20" si="0">SUMIF($AY$13:$AY$46,AT14,$BC$13:$BC$46)</f>
        <v>3</v>
      </c>
      <c r="W14" s="109" t="str">
        <f>IF(AU14&gt;0,"x","")</f>
        <v/>
      </c>
      <c r="X14" s="110" t="str">
        <f>IF(AU14&gt;1,"x","")</f>
        <v/>
      </c>
      <c r="Y14" s="103" t="str">
        <f>IF(AU14&gt;2,"x","")</f>
        <v/>
      </c>
      <c r="Z14" s="111"/>
      <c r="AA14" s="112">
        <v>1</v>
      </c>
      <c r="AB14" s="113" t="str">
        <f>+AB13</f>
        <v>-</v>
      </c>
      <c r="AC14" s="112">
        <v>5</v>
      </c>
      <c r="AD14" s="114">
        <v>2</v>
      </c>
      <c r="AE14" s="115"/>
      <c r="AF14" s="115"/>
      <c r="AG14" s="116" t="s">
        <v>265</v>
      </c>
      <c r="AH14" s="117"/>
      <c r="AI14" s="117"/>
      <c r="AJ14" s="342" t="s">
        <v>17</v>
      </c>
      <c r="AK14" s="343"/>
      <c r="AL14" s="346">
        <v>3</v>
      </c>
      <c r="AM14" s="347"/>
      <c r="AN14" s="118"/>
      <c r="AO14" s="101">
        <f>IF(BQ14="","",IF(BQ14=$BL$10,"2"+AO13,IF(BQ14=$BM$10,"1"+AO13,IF(BQ14=$BN$10,"0"+AO13,IF(BQ14=$BO$10,"0"+AO13,IF(BQ14=$BP$10,"0"+AO13,"0"+AO13))))))</f>
        <v>2</v>
      </c>
      <c r="AP14" s="113" t="str">
        <f>+AP13</f>
        <v>-</v>
      </c>
      <c r="AQ14" s="119"/>
      <c r="AR14" s="103">
        <f>IF(BQ14="","",IF(BQ14=$BL$11,"2"+AR13,IF(BQ14=$BM$11,"1"+AR13,IF(BQ14=$BN$11,"0"+AR13,IF(BQ14=$BO$11,"0"+AR13,IF(BQ14=$BP$11,"0"+AR13,"0"+AR13))))))</f>
        <v>0</v>
      </c>
      <c r="AT14" s="38" t="str">
        <f>CONCATENATE($AU$11&amp;B14)</f>
        <v>W2</v>
      </c>
      <c r="AU14" s="38">
        <f>SUMIF($AY$13:$AY$46,AT14,$BD$13:$BD$46)</f>
        <v>0</v>
      </c>
      <c r="AY14" s="38" t="str">
        <f t="shared" ref="AY14:AY46" si="1">CONCATENATE(AJ14&amp;AL14)</f>
        <v>W3</v>
      </c>
      <c r="AZ14" s="38" t="str">
        <f t="shared" ref="AZ14:AZ46" si="2">IF(AE14=$AW$11,"2","0")</f>
        <v>0</v>
      </c>
      <c r="BA14" s="38" t="str">
        <f t="shared" ref="BA14:BA46" si="3">IF(AG14=$AW$11,"1","0")</f>
        <v>1</v>
      </c>
      <c r="BB14" s="38" t="str">
        <f t="shared" ref="BB14:BB46" si="4">IF(AF14=$AW$11,"1","0")</f>
        <v>0</v>
      </c>
      <c r="BC14" s="38">
        <f t="shared" ref="BC14:BC46" si="5">AZ14+BA14</f>
        <v>1</v>
      </c>
      <c r="BD14" s="38">
        <f t="shared" ref="BD14:BD46" si="6">BB14+0</f>
        <v>0</v>
      </c>
      <c r="BL14" s="38" t="str">
        <f t="shared" ref="BL14:BL46" si="7">IF(AE14="","",CONCATENATE($BL$12&amp;AJ14&amp;AE14))</f>
        <v/>
      </c>
      <c r="BM14" s="38" t="str">
        <f t="shared" ref="BM14:BM46" si="8">IF(AG14="","",CONCATENATE($BM$12&amp;AJ14&amp;AG14))</f>
        <v>dWX</v>
      </c>
      <c r="BN14" s="38" t="str">
        <f t="shared" ref="BN14:BN46" si="9">IF(AF14="","",CONCATENATE($BN$12&amp;AJ14,AF14))</f>
        <v/>
      </c>
      <c r="BO14" s="38" t="str">
        <f t="shared" ref="BO14:BO46" si="10">IF(AH14="","",CONCATENATE($BO$12&amp;AJ14&amp;AH14))</f>
        <v/>
      </c>
      <c r="BP14" s="38" t="str">
        <f t="shared" ref="BP14:BP46" si="11">IF(AI14="","",CONCATENATE($BP$12&amp;AJ14&amp;AI14))</f>
        <v/>
      </c>
      <c r="BQ14" s="38" t="str">
        <f t="shared" ref="BQ14:BQ46" si="12">CONCATENATE(BL14&amp;BM14&amp;BN14&amp;BO14&amp;BP14)</f>
        <v>dWX</v>
      </c>
    </row>
    <row r="15" spans="1:256" ht="15.6" x14ac:dyDescent="0.3">
      <c r="A15" s="120" t="s">
        <v>265</v>
      </c>
      <c r="B15" s="397">
        <f>IF(ISBLANK(HLOOKUP($F$10,spelerslijsten!$B$1:$J$22,6,FALSE)),"",HLOOKUP($F$10,spelerslijsten!$B$1:$J$22,6,FALSE))</f>
        <v>3</v>
      </c>
      <c r="C15" s="398"/>
      <c r="D15" s="121"/>
      <c r="E15" s="122" t="str">
        <f>IF(ISBLANK(HLOOKUP($F$10,spelerslijsten!$B$1:$J$22,5,FALSE)),"",HLOOKUP($F$10,spelerslijsten!$B$1:$J$22,5,FALSE))</f>
        <v>Kevin Kanters</v>
      </c>
      <c r="F15" s="123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08">
        <f t="shared" si="0"/>
        <v>1</v>
      </c>
      <c r="W15" s="109" t="str">
        <f t="shared" ref="W15:W23" si="13">IF(AU15&gt;0,"x","")</f>
        <v/>
      </c>
      <c r="X15" s="110" t="str">
        <f t="shared" ref="X15:X23" si="14">IF(AU15&gt;1,"x","")</f>
        <v/>
      </c>
      <c r="Y15" s="103" t="str">
        <f t="shared" ref="Y15:Y23" si="15">IF(AU15&gt;2,"x","")</f>
        <v/>
      </c>
      <c r="Z15" s="111"/>
      <c r="AA15" s="112">
        <v>2</v>
      </c>
      <c r="AB15" s="113" t="str">
        <f t="shared" ref="AB15:AB44" si="16">+AB14</f>
        <v>-</v>
      </c>
      <c r="AC15" s="112">
        <v>5</v>
      </c>
      <c r="AD15" s="114">
        <v>5</v>
      </c>
      <c r="AE15" s="115"/>
      <c r="AF15" s="115"/>
      <c r="AG15" s="116" t="s">
        <v>265</v>
      </c>
      <c r="AH15" s="117"/>
      <c r="AI15" s="117"/>
      <c r="AJ15" s="342" t="s">
        <v>17</v>
      </c>
      <c r="AK15" s="343"/>
      <c r="AL15" s="346">
        <v>9</v>
      </c>
      <c r="AM15" s="347"/>
      <c r="AN15" s="118"/>
      <c r="AO15" s="101">
        <f>IF(BQ15="","",IF(BQ15=$BL$10,"2"+AO14,IF(BQ15=$BM$10,"1"+AO14,IF(BQ15=$BN$10,"0"+AO14,IF(BQ15=$BO$10,"0"+AO14,IF(BQ15=$BP$10,"0"+AO14,"0"+AO14))))))</f>
        <v>3</v>
      </c>
      <c r="AP15" s="113" t="str">
        <f>+AP14</f>
        <v>-</v>
      </c>
      <c r="AQ15" s="119"/>
      <c r="AR15" s="103">
        <f>IF(BQ15="","",IF(BQ15=$BL$11,"2"+AR14,IF(BQ15=$BM$11,"1"+AR14,IF(BQ15=$BN$11,"0"+AR14,IF(BQ15=$BO$11,"0"+AR14,IF(BQ15=$BP$11,"0"+AR14,"0"+AR14))))))</f>
        <v>0</v>
      </c>
      <c r="AT15" s="38" t="str">
        <f t="shared" ref="AT15:AT23" si="17">CONCATENATE($AU$11&amp;B15)</f>
        <v>W3</v>
      </c>
      <c r="AU15" s="38">
        <f t="shared" ref="AU15:AU39" si="18">SUMIF($AY$13:$AY$46,AT15,$BD$13:$BD$46)</f>
        <v>0</v>
      </c>
      <c r="AY15" s="38" t="str">
        <f t="shared" si="1"/>
        <v>W9</v>
      </c>
      <c r="AZ15" s="38" t="str">
        <f t="shared" si="2"/>
        <v>0</v>
      </c>
      <c r="BA15" s="38" t="str">
        <f t="shared" si="3"/>
        <v>1</v>
      </c>
      <c r="BB15" s="38" t="str">
        <f t="shared" si="4"/>
        <v>0</v>
      </c>
      <c r="BC15" s="38">
        <f t="shared" si="5"/>
        <v>1</v>
      </c>
      <c r="BD15" s="38">
        <f t="shared" si="6"/>
        <v>0</v>
      </c>
      <c r="BL15" s="38" t="str">
        <f t="shared" si="7"/>
        <v/>
      </c>
      <c r="BM15" s="38" t="str">
        <f t="shared" si="8"/>
        <v>dWX</v>
      </c>
      <c r="BN15" s="38" t="str">
        <f t="shared" si="9"/>
        <v/>
      </c>
      <c r="BO15" s="38" t="str">
        <f t="shared" si="10"/>
        <v/>
      </c>
      <c r="BP15" s="38" t="str">
        <f t="shared" si="11"/>
        <v/>
      </c>
      <c r="BQ15" s="38" t="str">
        <f t="shared" si="12"/>
        <v>dWX</v>
      </c>
    </row>
    <row r="16" spans="1:256" ht="15.6" x14ac:dyDescent="0.3">
      <c r="A16" s="124" t="s">
        <v>265</v>
      </c>
      <c r="B16" s="397">
        <f>IF(ISBLANK(HLOOKUP($F$10,spelerslijsten!$B$1:$J$22,8,FALSE)),"",HLOOKUP($F$10,spelerslijsten!$B$1:$J$22,8,FALSE))</f>
        <v>4</v>
      </c>
      <c r="C16" s="398"/>
      <c r="D16" s="121"/>
      <c r="E16" s="122" t="str">
        <f>IF(ISBLANK(HLOOKUP($F$10,spelerslijsten!$B$1:$J$22,7,FALSE)),"",HLOOKUP($F$10,spelerslijsten!$B$1:$J$22,7,FALSE))</f>
        <v>Monique Schouten</v>
      </c>
      <c r="F16" s="12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08">
        <f t="shared" si="0"/>
        <v>0</v>
      </c>
      <c r="W16" s="109" t="str">
        <f t="shared" si="13"/>
        <v/>
      </c>
      <c r="X16" s="110" t="str">
        <f t="shared" si="14"/>
        <v/>
      </c>
      <c r="Y16" s="103" t="str">
        <f t="shared" si="15"/>
        <v/>
      </c>
      <c r="Z16" s="111"/>
      <c r="AA16" s="112">
        <v>4</v>
      </c>
      <c r="AB16" s="113" t="str">
        <f t="shared" si="16"/>
        <v>-</v>
      </c>
      <c r="AC16" s="112">
        <v>0</v>
      </c>
      <c r="AD16" s="114">
        <v>0</v>
      </c>
      <c r="AE16" s="115"/>
      <c r="AF16" s="115"/>
      <c r="AG16" s="116" t="s">
        <v>265</v>
      </c>
      <c r="AH16" s="117"/>
      <c r="AI16" s="117"/>
      <c r="AJ16" s="342" t="s">
        <v>17</v>
      </c>
      <c r="AK16" s="343"/>
      <c r="AL16" s="346">
        <v>10</v>
      </c>
      <c r="AM16" s="347"/>
      <c r="AN16" s="118"/>
      <c r="AO16" s="101">
        <f t="shared" ref="AO16:AO46" si="19">IF(BQ16="","",IF(BQ16=$BL$10,"2"+AO15,IF(BQ16=$BM$10,"1"+AO15,IF(BQ16=$BN$10,"0"+AO15,IF(BQ16=$BO$10,"0"+AO15,IF(BQ16=$BP$10,"0"+AO15,"0"+AO15))))))</f>
        <v>4</v>
      </c>
      <c r="AP16" s="113" t="str">
        <f t="shared" ref="AP16:AP46" si="20">+AP15</f>
        <v>-</v>
      </c>
      <c r="AQ16" s="119"/>
      <c r="AR16" s="103">
        <f t="shared" ref="AR16:AR46" si="21">IF(BQ16="","",IF(BQ16=$BL$11,"2"+AR15,IF(BQ16=$BM$11,"1"+AR15,IF(BQ16=$BN$11,"0"+AR15,IF(BQ16=$BO$11,"0"+AR15,IF(BQ16=$BP$11,"0"+AR15,"0"+AR15))))))</f>
        <v>0</v>
      </c>
      <c r="AT16" s="38" t="str">
        <f t="shared" si="17"/>
        <v>W4</v>
      </c>
      <c r="AU16" s="38">
        <f t="shared" si="18"/>
        <v>0</v>
      </c>
      <c r="AY16" s="38" t="str">
        <f t="shared" si="1"/>
        <v>W10</v>
      </c>
      <c r="AZ16" s="38" t="str">
        <f t="shared" si="2"/>
        <v>0</v>
      </c>
      <c r="BA16" s="38" t="str">
        <f t="shared" si="3"/>
        <v>1</v>
      </c>
      <c r="BB16" s="38" t="str">
        <f t="shared" si="4"/>
        <v>0</v>
      </c>
      <c r="BC16" s="38">
        <f t="shared" si="5"/>
        <v>1</v>
      </c>
      <c r="BD16" s="38">
        <f t="shared" si="6"/>
        <v>0</v>
      </c>
      <c r="BL16" s="38" t="str">
        <f t="shared" si="7"/>
        <v/>
      </c>
      <c r="BM16" s="38" t="str">
        <f t="shared" si="8"/>
        <v>dWX</v>
      </c>
      <c r="BN16" s="38" t="str">
        <f t="shared" si="9"/>
        <v/>
      </c>
      <c r="BO16" s="38" t="str">
        <f t="shared" si="10"/>
        <v/>
      </c>
      <c r="BP16" s="38" t="str">
        <f t="shared" si="11"/>
        <v/>
      </c>
      <c r="BQ16" s="38" t="str">
        <f t="shared" si="12"/>
        <v>dWX</v>
      </c>
    </row>
    <row r="17" spans="1:69" ht="15.6" x14ac:dyDescent="0.3">
      <c r="A17" s="124" t="s">
        <v>265</v>
      </c>
      <c r="B17" s="397">
        <f>IF(ISBLANK(HLOOKUP($F$10,spelerslijsten!$B$1:$J$22,10,FALSE)),"",HLOOKUP($F$10,spelerslijsten!$B$1:$J$22,10,FALSE))</f>
        <v>5</v>
      </c>
      <c r="C17" s="398"/>
      <c r="D17" s="121"/>
      <c r="E17" s="122" t="str">
        <f>IF(ISBLANK(HLOOKUP($F$10,spelerslijsten!$B$1:$J$22,9,FALSE)),"",HLOOKUP($F$10,spelerslijsten!$B$1:$J$22,9,FALSE))</f>
        <v>Miranda van Schaijk</v>
      </c>
      <c r="F17" s="12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08">
        <f t="shared" si="0"/>
        <v>0</v>
      </c>
      <c r="W17" s="109" t="str">
        <f t="shared" si="13"/>
        <v/>
      </c>
      <c r="X17" s="110" t="str">
        <f t="shared" si="14"/>
        <v/>
      </c>
      <c r="Y17" s="103" t="str">
        <f t="shared" si="15"/>
        <v/>
      </c>
      <c r="Z17" s="111"/>
      <c r="AA17" s="112">
        <v>5</v>
      </c>
      <c r="AB17" s="113" t="str">
        <f t="shared" si="16"/>
        <v>-</v>
      </c>
      <c r="AC17" s="112">
        <v>2</v>
      </c>
      <c r="AD17" s="114">
        <v>5</v>
      </c>
      <c r="AE17" s="115"/>
      <c r="AF17" s="115"/>
      <c r="AG17" s="116" t="s">
        <v>265</v>
      </c>
      <c r="AH17" s="117"/>
      <c r="AI17" s="117"/>
      <c r="AJ17" s="342" t="s">
        <v>17</v>
      </c>
      <c r="AK17" s="343"/>
      <c r="AL17" s="346">
        <v>9</v>
      </c>
      <c r="AM17" s="347"/>
      <c r="AN17" s="118"/>
      <c r="AO17" s="101">
        <f t="shared" si="19"/>
        <v>5</v>
      </c>
      <c r="AP17" s="113" t="str">
        <f t="shared" si="20"/>
        <v>-</v>
      </c>
      <c r="AQ17" s="119"/>
      <c r="AR17" s="103">
        <f t="shared" si="21"/>
        <v>0</v>
      </c>
      <c r="AT17" s="38" t="str">
        <f t="shared" si="17"/>
        <v>W5</v>
      </c>
      <c r="AU17" s="38">
        <f t="shared" si="18"/>
        <v>0</v>
      </c>
      <c r="AY17" s="38" t="str">
        <f t="shared" si="1"/>
        <v>W9</v>
      </c>
      <c r="AZ17" s="38" t="str">
        <f t="shared" si="2"/>
        <v>0</v>
      </c>
      <c r="BA17" s="38" t="str">
        <f t="shared" si="3"/>
        <v>1</v>
      </c>
      <c r="BB17" s="38" t="str">
        <f t="shared" si="4"/>
        <v>0</v>
      </c>
      <c r="BC17" s="38">
        <f t="shared" si="5"/>
        <v>1</v>
      </c>
      <c r="BD17" s="38">
        <f t="shared" si="6"/>
        <v>0</v>
      </c>
      <c r="BL17" s="38" t="str">
        <f t="shared" si="7"/>
        <v/>
      </c>
      <c r="BM17" s="38" t="str">
        <f t="shared" si="8"/>
        <v>dWX</v>
      </c>
      <c r="BN17" s="38" t="str">
        <f t="shared" si="9"/>
        <v/>
      </c>
      <c r="BO17" s="38" t="str">
        <f t="shared" si="10"/>
        <v/>
      </c>
      <c r="BP17" s="38" t="str">
        <f t="shared" si="11"/>
        <v/>
      </c>
      <c r="BQ17" s="38" t="str">
        <f t="shared" si="12"/>
        <v>dWX</v>
      </c>
    </row>
    <row r="18" spans="1:69" ht="15.6" x14ac:dyDescent="0.3">
      <c r="A18" s="124" t="s">
        <v>265</v>
      </c>
      <c r="B18" s="397">
        <f>IF(ISBLANK(HLOOKUP($F$10,spelerslijsten!$B$1:$J$22,12,FALSE)),"",HLOOKUP($F$10,spelerslijsten!$B$1:$J$22,12,FALSE))</f>
        <v>6</v>
      </c>
      <c r="C18" s="398"/>
      <c r="D18" s="121"/>
      <c r="E18" s="122" t="str">
        <f>IF(ISBLANK(HLOOKUP($F$10,spelerslijsten!$B$1:$J$22,11,FALSE)),"",HLOOKUP($F$10,spelerslijsten!$B$1:$J$22,11,FALSE))</f>
        <v>Jan Zegers</v>
      </c>
      <c r="F18" s="12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08">
        <f t="shared" si="0"/>
        <v>0</v>
      </c>
      <c r="W18" s="109" t="str">
        <f t="shared" si="13"/>
        <v/>
      </c>
      <c r="X18" s="110" t="str">
        <f t="shared" si="14"/>
        <v/>
      </c>
      <c r="Y18" s="103" t="str">
        <f t="shared" si="15"/>
        <v/>
      </c>
      <c r="Z18" s="111"/>
      <c r="AA18" s="112">
        <v>7</v>
      </c>
      <c r="AB18" s="113" t="s">
        <v>16</v>
      </c>
      <c r="AC18" s="112">
        <v>2</v>
      </c>
      <c r="AD18" s="114">
        <v>0</v>
      </c>
      <c r="AE18" s="115"/>
      <c r="AF18" s="115"/>
      <c r="AG18" s="116" t="s">
        <v>265</v>
      </c>
      <c r="AH18" s="117"/>
      <c r="AI18" s="117"/>
      <c r="AJ18" s="342" t="s">
        <v>17</v>
      </c>
      <c r="AK18" s="343"/>
      <c r="AL18" s="346">
        <v>2</v>
      </c>
      <c r="AM18" s="347"/>
      <c r="AN18" s="118"/>
      <c r="AO18" s="101">
        <f t="shared" si="19"/>
        <v>6</v>
      </c>
      <c r="AP18" s="113" t="str">
        <f t="shared" si="20"/>
        <v>-</v>
      </c>
      <c r="AQ18" s="119"/>
      <c r="AR18" s="103">
        <f t="shared" si="21"/>
        <v>0</v>
      </c>
      <c r="AT18" s="38" t="str">
        <f t="shared" si="17"/>
        <v>W6</v>
      </c>
      <c r="AU18" s="38">
        <f t="shared" si="18"/>
        <v>0</v>
      </c>
      <c r="AY18" s="38" t="str">
        <f t="shared" si="1"/>
        <v>W2</v>
      </c>
      <c r="AZ18" s="38" t="str">
        <f t="shared" si="2"/>
        <v>0</v>
      </c>
      <c r="BA18" s="38" t="str">
        <f t="shared" si="3"/>
        <v>1</v>
      </c>
      <c r="BB18" s="38" t="str">
        <f t="shared" si="4"/>
        <v>0</v>
      </c>
      <c r="BC18" s="38">
        <f t="shared" si="5"/>
        <v>1</v>
      </c>
      <c r="BD18" s="38">
        <f t="shared" si="6"/>
        <v>0</v>
      </c>
      <c r="BL18" s="38" t="str">
        <f t="shared" si="7"/>
        <v/>
      </c>
      <c r="BM18" s="38" t="str">
        <f t="shared" si="8"/>
        <v>dWX</v>
      </c>
      <c r="BN18" s="38" t="str">
        <f t="shared" si="9"/>
        <v/>
      </c>
      <c r="BO18" s="38" t="str">
        <f t="shared" si="10"/>
        <v/>
      </c>
      <c r="BP18" s="38" t="str">
        <f t="shared" si="11"/>
        <v/>
      </c>
      <c r="BQ18" s="38" t="str">
        <f t="shared" si="12"/>
        <v>dWX</v>
      </c>
    </row>
    <row r="19" spans="1:69" ht="15.6" x14ac:dyDescent="0.3">
      <c r="A19" s="124" t="s">
        <v>265</v>
      </c>
      <c r="B19" s="397">
        <f>IF(ISBLANK(HLOOKUP($F$10,spelerslijsten!$B$1:$J$22,14,FALSE)),"",HLOOKUP($F$10,spelerslijsten!$B$1:$J$22,14,FALSE))</f>
        <v>9</v>
      </c>
      <c r="C19" s="398"/>
      <c r="D19" s="121"/>
      <c r="E19" s="122" t="str">
        <f>IF(ISBLANK(HLOOKUP($F$10,spelerslijsten!$B$1:$J$22,13,FALSE)),"",HLOOKUP($F$10,spelerslijsten!$B$1:$J$22,13,FALSE))</f>
        <v>Christian Gibbels</v>
      </c>
      <c r="F19" s="12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08">
        <f t="shared" si="0"/>
        <v>2</v>
      </c>
      <c r="W19" s="109" t="str">
        <f t="shared" si="13"/>
        <v/>
      </c>
      <c r="X19" s="110" t="str">
        <f t="shared" si="14"/>
        <v/>
      </c>
      <c r="Y19" s="103" t="str">
        <f t="shared" si="15"/>
        <v/>
      </c>
      <c r="Z19" s="111">
        <v>1</v>
      </c>
      <c r="AA19" s="112">
        <v>0</v>
      </c>
      <c r="AB19" s="113" t="str">
        <f t="shared" si="16"/>
        <v>-</v>
      </c>
      <c r="AC19" s="112">
        <v>0</v>
      </c>
      <c r="AD19" s="114">
        <v>0</v>
      </c>
      <c r="AE19" s="115"/>
      <c r="AF19" s="115"/>
      <c r="AG19" s="116" t="s">
        <v>265</v>
      </c>
      <c r="AH19" s="117"/>
      <c r="AI19" s="117"/>
      <c r="AJ19" s="342" t="s">
        <v>18</v>
      </c>
      <c r="AK19" s="343"/>
      <c r="AL19" s="346">
        <v>9</v>
      </c>
      <c r="AM19" s="347"/>
      <c r="AN19" s="118"/>
      <c r="AO19" s="101">
        <f t="shared" si="19"/>
        <v>6</v>
      </c>
      <c r="AP19" s="113" t="str">
        <f t="shared" si="20"/>
        <v>-</v>
      </c>
      <c r="AQ19" s="119"/>
      <c r="AR19" s="103">
        <f t="shared" si="21"/>
        <v>1</v>
      </c>
      <c r="AT19" s="38" t="str">
        <f t="shared" si="17"/>
        <v>W9</v>
      </c>
      <c r="AU19" s="38">
        <f t="shared" si="18"/>
        <v>0</v>
      </c>
      <c r="AY19" s="38" t="str">
        <f t="shared" si="1"/>
        <v>B9</v>
      </c>
      <c r="AZ19" s="38" t="str">
        <f t="shared" si="2"/>
        <v>0</v>
      </c>
      <c r="BA19" s="38" t="str">
        <f t="shared" si="3"/>
        <v>1</v>
      </c>
      <c r="BB19" s="38" t="str">
        <f t="shared" si="4"/>
        <v>0</v>
      </c>
      <c r="BC19" s="38">
        <f t="shared" si="5"/>
        <v>1</v>
      </c>
      <c r="BD19" s="38">
        <f t="shared" si="6"/>
        <v>0</v>
      </c>
      <c r="BL19" s="38" t="str">
        <f t="shared" si="7"/>
        <v/>
      </c>
      <c r="BM19" s="38" t="str">
        <f t="shared" si="8"/>
        <v>dBX</v>
      </c>
      <c r="BN19" s="38" t="str">
        <f t="shared" si="9"/>
        <v/>
      </c>
      <c r="BO19" s="38" t="str">
        <f t="shared" si="10"/>
        <v/>
      </c>
      <c r="BP19" s="38" t="str">
        <f t="shared" si="11"/>
        <v/>
      </c>
      <c r="BQ19" s="38" t="str">
        <f t="shared" si="12"/>
        <v>dBX</v>
      </c>
    </row>
    <row r="20" spans="1:69" ht="15.6" x14ac:dyDescent="0.3">
      <c r="A20" s="124" t="s">
        <v>265</v>
      </c>
      <c r="B20" s="397">
        <f>IF(ISBLANK(HLOOKUP($F$10,spelerslijsten!$B$1:$J$22,16,FALSE)),"",HLOOKUP($F$10,spelerslijsten!$B$1:$J$22,16,FALSE))</f>
        <v>10</v>
      </c>
      <c r="C20" s="398"/>
      <c r="D20" s="121"/>
      <c r="E20" s="122" t="str">
        <f>IF(ISBLANK(HLOOKUP($F$10,spelerslijsten!$B$1:$J$22,15,FALSE)),"",HLOOKUP($F$10,spelerslijsten!$B$1:$J$22,15,FALSE))</f>
        <v>Stefan van der Wielen</v>
      </c>
      <c r="F20" s="12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08">
        <f t="shared" si="0"/>
        <v>2</v>
      </c>
      <c r="W20" s="109" t="str">
        <f t="shared" si="13"/>
        <v/>
      </c>
      <c r="X20" s="110" t="str">
        <f t="shared" si="14"/>
        <v/>
      </c>
      <c r="Y20" s="103" t="str">
        <f t="shared" si="15"/>
        <v/>
      </c>
      <c r="Z20" s="111">
        <v>1</v>
      </c>
      <c r="AA20" s="112">
        <v>0</v>
      </c>
      <c r="AB20" s="113" t="str">
        <f t="shared" si="16"/>
        <v>-</v>
      </c>
      <c r="AC20" s="112">
        <v>5</v>
      </c>
      <c r="AD20" s="114">
        <v>0</v>
      </c>
      <c r="AE20" s="115"/>
      <c r="AF20" s="115"/>
      <c r="AG20" s="116" t="s">
        <v>265</v>
      </c>
      <c r="AH20" s="117"/>
      <c r="AI20" s="117"/>
      <c r="AJ20" s="342" t="s">
        <v>17</v>
      </c>
      <c r="AK20" s="343"/>
      <c r="AL20" s="346">
        <v>2</v>
      </c>
      <c r="AM20" s="347"/>
      <c r="AN20" s="118"/>
      <c r="AO20" s="101">
        <f t="shared" si="19"/>
        <v>7</v>
      </c>
      <c r="AP20" s="113" t="str">
        <f t="shared" si="20"/>
        <v>-</v>
      </c>
      <c r="AQ20" s="119"/>
      <c r="AR20" s="103">
        <f t="shared" si="21"/>
        <v>1</v>
      </c>
      <c r="AT20" s="38" t="str">
        <f t="shared" si="17"/>
        <v>W10</v>
      </c>
      <c r="AU20" s="38">
        <f t="shared" si="18"/>
        <v>0</v>
      </c>
      <c r="AY20" s="38" t="str">
        <f t="shared" si="1"/>
        <v>W2</v>
      </c>
      <c r="AZ20" s="38" t="str">
        <f t="shared" si="2"/>
        <v>0</v>
      </c>
      <c r="BA20" s="38" t="str">
        <f t="shared" si="3"/>
        <v>1</v>
      </c>
      <c r="BB20" s="38" t="str">
        <f t="shared" si="4"/>
        <v>0</v>
      </c>
      <c r="BC20" s="38">
        <f t="shared" si="5"/>
        <v>1</v>
      </c>
      <c r="BD20" s="38">
        <f t="shared" si="6"/>
        <v>0</v>
      </c>
      <c r="BL20" s="38" t="str">
        <f t="shared" si="7"/>
        <v/>
      </c>
      <c r="BM20" s="38" t="str">
        <f t="shared" si="8"/>
        <v>dWX</v>
      </c>
      <c r="BN20" s="38" t="str">
        <f t="shared" si="9"/>
        <v/>
      </c>
      <c r="BO20" s="38" t="str">
        <f t="shared" si="10"/>
        <v/>
      </c>
      <c r="BP20" s="38" t="str">
        <f t="shared" si="11"/>
        <v/>
      </c>
      <c r="BQ20" s="38" t="str">
        <f t="shared" si="12"/>
        <v>dWX</v>
      </c>
    </row>
    <row r="21" spans="1:69" ht="15.6" x14ac:dyDescent="0.3">
      <c r="A21" s="124"/>
      <c r="B21" s="397" t="str">
        <f>IF(ISBLANK(HLOOKUP($F$10,spelerslijsten!$B$1:$J$22,18,FALSE)),"",HLOOKUP($F$10,spelerslijsten!$B$1:$J$22,18,FALSE))</f>
        <v/>
      </c>
      <c r="C21" s="398"/>
      <c r="D21" s="121"/>
      <c r="E21" s="122" t="str">
        <f>IF(ISBLANK(HLOOKUP($F$10,spelerslijsten!$B$1:$J$22,17,FALSE)),"",HLOOKUP($F$10,spelerslijsten!$B$1:$J$22,17,FALSE))</f>
        <v/>
      </c>
      <c r="F21" s="12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08">
        <f>SUMIF($AY$13:$AY$46,AT21,$BC$13:$BC$46)</f>
        <v>0</v>
      </c>
      <c r="W21" s="109" t="str">
        <f t="shared" si="13"/>
        <v/>
      </c>
      <c r="X21" s="110" t="str">
        <f t="shared" si="14"/>
        <v/>
      </c>
      <c r="Y21" s="103" t="str">
        <f t="shared" si="15"/>
        <v/>
      </c>
      <c r="Z21" s="111">
        <v>1</v>
      </c>
      <c r="AA21" s="112">
        <v>1</v>
      </c>
      <c r="AB21" s="113" t="str">
        <f t="shared" si="16"/>
        <v>-</v>
      </c>
      <c r="AC21" s="112">
        <v>3</v>
      </c>
      <c r="AD21" s="114">
        <v>1</v>
      </c>
      <c r="AE21" s="115"/>
      <c r="AF21" s="115"/>
      <c r="AG21" s="116" t="s">
        <v>265</v>
      </c>
      <c r="AH21" s="117"/>
      <c r="AI21" s="117"/>
      <c r="AJ21" s="342" t="s">
        <v>18</v>
      </c>
      <c r="AK21" s="343"/>
      <c r="AL21" s="346">
        <v>9</v>
      </c>
      <c r="AM21" s="347"/>
      <c r="AN21" s="118"/>
      <c r="AO21" s="101">
        <f t="shared" si="19"/>
        <v>7</v>
      </c>
      <c r="AP21" s="113" t="str">
        <f t="shared" si="20"/>
        <v>-</v>
      </c>
      <c r="AQ21" s="119"/>
      <c r="AR21" s="103">
        <f t="shared" si="21"/>
        <v>2</v>
      </c>
      <c r="AT21" s="38" t="str">
        <f t="shared" si="17"/>
        <v>W</v>
      </c>
      <c r="AU21" s="38">
        <f t="shared" si="18"/>
        <v>0</v>
      </c>
      <c r="AY21" s="38" t="str">
        <f t="shared" si="1"/>
        <v>B9</v>
      </c>
      <c r="AZ21" s="38" t="str">
        <f t="shared" si="2"/>
        <v>0</v>
      </c>
      <c r="BA21" s="38" t="str">
        <f t="shared" si="3"/>
        <v>1</v>
      </c>
      <c r="BB21" s="38" t="str">
        <f t="shared" si="4"/>
        <v>0</v>
      </c>
      <c r="BC21" s="38">
        <f t="shared" si="5"/>
        <v>1</v>
      </c>
      <c r="BD21" s="38">
        <f t="shared" si="6"/>
        <v>0</v>
      </c>
      <c r="BL21" s="38" t="str">
        <f t="shared" si="7"/>
        <v/>
      </c>
      <c r="BM21" s="38" t="str">
        <f t="shared" si="8"/>
        <v>dBX</v>
      </c>
      <c r="BN21" s="38" t="str">
        <f t="shared" si="9"/>
        <v/>
      </c>
      <c r="BO21" s="38" t="str">
        <f t="shared" si="10"/>
        <v/>
      </c>
      <c r="BP21" s="38" t="str">
        <f t="shared" si="11"/>
        <v/>
      </c>
      <c r="BQ21" s="38" t="str">
        <f t="shared" si="12"/>
        <v>dBX</v>
      </c>
    </row>
    <row r="22" spans="1:69" ht="15.6" x14ac:dyDescent="0.3">
      <c r="A22" s="124"/>
      <c r="B22" s="397" t="str">
        <f>IF(ISBLANK(HLOOKUP($F$10,spelerslijsten!$B$1:$J$22,20,FALSE)),"",HLOOKUP($F$10,spelerslijsten!$B$1:$J$22,20,FALSE))</f>
        <v/>
      </c>
      <c r="C22" s="398"/>
      <c r="D22" s="121"/>
      <c r="E22" s="122" t="str">
        <f>IF(ISBLANK(HLOOKUP($F$10,spelerslijsten!$B$1:$J$22,19,FALSE)),"",HLOOKUP($F$10,spelerslijsten!$B$1:$J$22,19,FALSE))</f>
        <v/>
      </c>
      <c r="F22" s="12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08">
        <f t="shared" ref="V22:V23" si="22">SUMIF($AY$13:$AY$46,AT22,$BC$13:$BC$46)</f>
        <v>0</v>
      </c>
      <c r="W22" s="109" t="str">
        <f t="shared" si="13"/>
        <v/>
      </c>
      <c r="X22" s="110" t="str">
        <f t="shared" si="14"/>
        <v/>
      </c>
      <c r="Y22" s="103" t="str">
        <f t="shared" si="15"/>
        <v/>
      </c>
      <c r="Z22" s="111">
        <v>1</v>
      </c>
      <c r="AA22" s="112">
        <v>2</v>
      </c>
      <c r="AB22" s="113" t="str">
        <f t="shared" si="16"/>
        <v>-</v>
      </c>
      <c r="AC22" s="112">
        <v>1</v>
      </c>
      <c r="AD22" s="114">
        <v>9</v>
      </c>
      <c r="AE22" s="115"/>
      <c r="AF22" s="115"/>
      <c r="AG22" s="116" t="s">
        <v>265</v>
      </c>
      <c r="AH22" s="117"/>
      <c r="AI22" s="117"/>
      <c r="AJ22" s="342" t="s">
        <v>17</v>
      </c>
      <c r="AK22" s="343"/>
      <c r="AL22" s="346">
        <v>2</v>
      </c>
      <c r="AM22" s="347"/>
      <c r="AN22" s="118"/>
      <c r="AO22" s="101">
        <f t="shared" si="19"/>
        <v>8</v>
      </c>
      <c r="AP22" s="113" t="str">
        <f t="shared" si="20"/>
        <v>-</v>
      </c>
      <c r="AQ22" s="119"/>
      <c r="AR22" s="103">
        <f t="shared" si="21"/>
        <v>2</v>
      </c>
      <c r="AT22" s="38" t="str">
        <f t="shared" si="17"/>
        <v>W</v>
      </c>
      <c r="AU22" s="38">
        <f t="shared" si="18"/>
        <v>0</v>
      </c>
      <c r="AY22" s="38" t="str">
        <f t="shared" si="1"/>
        <v>W2</v>
      </c>
      <c r="AZ22" s="38" t="str">
        <f t="shared" si="2"/>
        <v>0</v>
      </c>
      <c r="BA22" s="38" t="str">
        <f t="shared" si="3"/>
        <v>1</v>
      </c>
      <c r="BB22" s="38" t="str">
        <f t="shared" si="4"/>
        <v>0</v>
      </c>
      <c r="BC22" s="38">
        <f t="shared" si="5"/>
        <v>1</v>
      </c>
      <c r="BD22" s="38">
        <f t="shared" si="6"/>
        <v>0</v>
      </c>
      <c r="BL22" s="38" t="str">
        <f t="shared" si="7"/>
        <v/>
      </c>
      <c r="BM22" s="38" t="str">
        <f t="shared" si="8"/>
        <v>dWX</v>
      </c>
      <c r="BN22" s="38" t="str">
        <f t="shared" si="9"/>
        <v/>
      </c>
      <c r="BO22" s="38" t="str">
        <f t="shared" si="10"/>
        <v/>
      </c>
      <c r="BP22" s="38" t="str">
        <f t="shared" si="11"/>
        <v/>
      </c>
      <c r="BQ22" s="38" t="str">
        <f t="shared" si="12"/>
        <v>dWX</v>
      </c>
    </row>
    <row r="23" spans="1:69" ht="15.6" x14ac:dyDescent="0.3">
      <c r="A23" s="125"/>
      <c r="B23" s="397" t="str">
        <f>IF(ISBLANK(HLOOKUP($F$10,spelerslijsten!$B$1:$J$22,22,FALSE)),"",HLOOKUP($F$10,spelerslijsten!$B$1:$J$22,22,FALSE))</f>
        <v/>
      </c>
      <c r="C23" s="398"/>
      <c r="D23" s="126"/>
      <c r="E23" s="127" t="str">
        <f>IF(ISBLANK(HLOOKUP($F$10,spelerslijsten!$B$1:$J$22,21,FALSE)),"",HLOOKUP($F$10,spelerslijsten!$B$1:$J$22,21,FALSE))</f>
        <v/>
      </c>
      <c r="F23" s="126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08">
        <f t="shared" si="22"/>
        <v>0</v>
      </c>
      <c r="W23" s="109" t="str">
        <f t="shared" si="13"/>
        <v/>
      </c>
      <c r="X23" s="110" t="str">
        <f t="shared" si="14"/>
        <v/>
      </c>
      <c r="Y23" s="103" t="str">
        <f t="shared" si="15"/>
        <v/>
      </c>
      <c r="Z23" s="111"/>
      <c r="AA23" s="112"/>
      <c r="AB23" s="113" t="str">
        <f t="shared" si="16"/>
        <v>-</v>
      </c>
      <c r="AC23" s="112"/>
      <c r="AD23" s="114"/>
      <c r="AE23" s="115"/>
      <c r="AF23" s="115"/>
      <c r="AG23" s="116"/>
      <c r="AH23" s="117"/>
      <c r="AI23" s="117"/>
      <c r="AJ23" s="342"/>
      <c r="AK23" s="343"/>
      <c r="AL23" s="346"/>
      <c r="AM23" s="347"/>
      <c r="AN23" s="118"/>
      <c r="AO23" s="101" t="str">
        <f t="shared" si="19"/>
        <v/>
      </c>
      <c r="AP23" s="113" t="str">
        <f t="shared" si="20"/>
        <v>-</v>
      </c>
      <c r="AQ23" s="119"/>
      <c r="AR23" s="103" t="str">
        <f t="shared" si="21"/>
        <v/>
      </c>
      <c r="AT23" s="38" t="str">
        <f t="shared" si="17"/>
        <v>W</v>
      </c>
      <c r="AU23" s="38">
        <f t="shared" si="18"/>
        <v>0</v>
      </c>
      <c r="AY23" s="38" t="str">
        <f t="shared" si="1"/>
        <v/>
      </c>
      <c r="AZ23" s="38" t="str">
        <f t="shared" si="2"/>
        <v>0</v>
      </c>
      <c r="BA23" s="38" t="str">
        <f t="shared" si="3"/>
        <v>0</v>
      </c>
      <c r="BB23" s="38" t="str">
        <f t="shared" si="4"/>
        <v>0</v>
      </c>
      <c r="BC23" s="38">
        <f t="shared" si="5"/>
        <v>0</v>
      </c>
      <c r="BD23" s="38">
        <f t="shared" si="6"/>
        <v>0</v>
      </c>
      <c r="BL23" s="38" t="str">
        <f t="shared" si="7"/>
        <v/>
      </c>
      <c r="BM23" s="38" t="str">
        <f t="shared" si="8"/>
        <v/>
      </c>
      <c r="BN23" s="38" t="str">
        <f t="shared" si="9"/>
        <v/>
      </c>
      <c r="BO23" s="38" t="str">
        <f t="shared" si="10"/>
        <v/>
      </c>
      <c r="BP23" s="38" t="str">
        <f t="shared" si="11"/>
        <v/>
      </c>
      <c r="BQ23" s="38" t="str">
        <f t="shared" si="12"/>
        <v/>
      </c>
    </row>
    <row r="24" spans="1:69" ht="16.2" thickBot="1" x14ac:dyDescent="0.35">
      <c r="A24" s="71" t="s">
        <v>67</v>
      </c>
      <c r="B24" s="72"/>
      <c r="C24" s="72"/>
      <c r="D24" s="72"/>
      <c r="E24" s="72"/>
      <c r="F24" s="72"/>
      <c r="G24" s="72"/>
      <c r="I24" s="399">
        <f>HLOOKUP(F10,spelerslijsten!B1:J25,25,FALSE)</f>
        <v>2</v>
      </c>
      <c r="J24" s="400"/>
      <c r="K24" s="74" t="s">
        <v>23</v>
      </c>
      <c r="L24" s="72"/>
      <c r="M24" s="72"/>
      <c r="N24" s="129" t="str">
        <f>HLOOKUP(F10,spelerslijsten!B1:J25,23,FALSE)</f>
        <v>Mieke Reijnders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30"/>
      <c r="Z24" s="131"/>
      <c r="AA24" s="132"/>
      <c r="AB24" s="133" t="str">
        <f t="shared" si="16"/>
        <v>-</v>
      </c>
      <c r="AC24" s="132"/>
      <c r="AD24" s="134"/>
      <c r="AE24" s="135"/>
      <c r="AF24" s="135"/>
      <c r="AG24" s="136"/>
      <c r="AH24" s="137"/>
      <c r="AI24" s="137"/>
      <c r="AJ24" s="342"/>
      <c r="AK24" s="343"/>
      <c r="AL24" s="350"/>
      <c r="AM24" s="351"/>
      <c r="AN24" s="138"/>
      <c r="AO24" s="101" t="str">
        <f t="shared" si="19"/>
        <v/>
      </c>
      <c r="AP24" s="113" t="str">
        <f t="shared" si="20"/>
        <v>-</v>
      </c>
      <c r="AQ24" s="119"/>
      <c r="AR24" s="103" t="str">
        <f t="shared" si="21"/>
        <v/>
      </c>
      <c r="AY24" s="38" t="str">
        <f t="shared" si="1"/>
        <v/>
      </c>
      <c r="AZ24" s="38" t="str">
        <f t="shared" si="2"/>
        <v>0</v>
      </c>
      <c r="BA24" s="38" t="str">
        <f t="shared" si="3"/>
        <v>0</v>
      </c>
      <c r="BB24" s="38" t="str">
        <f t="shared" si="4"/>
        <v>0</v>
      </c>
      <c r="BC24" s="38">
        <f t="shared" si="5"/>
        <v>0</v>
      </c>
      <c r="BD24" s="38">
        <f t="shared" si="6"/>
        <v>0</v>
      </c>
      <c r="BL24" s="38" t="str">
        <f t="shared" si="7"/>
        <v/>
      </c>
      <c r="BM24" s="38" t="str">
        <f t="shared" si="8"/>
        <v/>
      </c>
      <c r="BN24" s="38" t="str">
        <f t="shared" si="9"/>
        <v/>
      </c>
      <c r="BO24" s="38" t="str">
        <f t="shared" si="10"/>
        <v/>
      </c>
      <c r="BP24" s="38" t="str">
        <f t="shared" si="11"/>
        <v/>
      </c>
      <c r="BQ24" s="38" t="str">
        <f t="shared" si="12"/>
        <v/>
      </c>
    </row>
    <row r="25" spans="1:69" ht="15" customHeight="1" x14ac:dyDescent="0.3">
      <c r="A25" s="78" t="s">
        <v>60</v>
      </c>
      <c r="B25" s="79"/>
      <c r="C25" s="79"/>
      <c r="D25" s="79"/>
      <c r="E25" s="79"/>
      <c r="F25" s="356" t="str">
        <f>+AC7</f>
        <v>RZ Roermond</v>
      </c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7"/>
      <c r="Z25" s="139"/>
      <c r="AA25" s="140"/>
      <c r="AB25" s="141" t="str">
        <f t="shared" si="16"/>
        <v>-</v>
      </c>
      <c r="AC25" s="140"/>
      <c r="AD25" s="142"/>
      <c r="AE25" s="143"/>
      <c r="AF25" s="143"/>
      <c r="AG25" s="144"/>
      <c r="AH25" s="145"/>
      <c r="AI25" s="145"/>
      <c r="AJ25" s="342"/>
      <c r="AK25" s="343"/>
      <c r="AL25" s="346"/>
      <c r="AM25" s="347"/>
      <c r="AN25" s="146"/>
      <c r="AO25" s="101" t="str">
        <f t="shared" si="19"/>
        <v/>
      </c>
      <c r="AP25" s="113" t="str">
        <f t="shared" si="20"/>
        <v>-</v>
      </c>
      <c r="AQ25" s="119"/>
      <c r="AR25" s="103" t="str">
        <f t="shared" si="21"/>
        <v/>
      </c>
      <c r="AY25" s="38" t="str">
        <f t="shared" si="1"/>
        <v/>
      </c>
      <c r="AZ25" s="38" t="str">
        <f t="shared" si="2"/>
        <v>0</v>
      </c>
      <c r="BA25" s="38" t="str">
        <f t="shared" si="3"/>
        <v>0</v>
      </c>
      <c r="BB25" s="38" t="str">
        <f t="shared" si="4"/>
        <v>0</v>
      </c>
      <c r="BC25" s="38">
        <f t="shared" si="5"/>
        <v>0</v>
      </c>
      <c r="BD25" s="38">
        <f t="shared" si="6"/>
        <v>0</v>
      </c>
      <c r="BL25" s="38" t="str">
        <f t="shared" si="7"/>
        <v/>
      </c>
      <c r="BM25" s="38" t="str">
        <f t="shared" si="8"/>
        <v/>
      </c>
      <c r="BN25" s="38" t="str">
        <f t="shared" si="9"/>
        <v/>
      </c>
      <c r="BO25" s="38" t="str">
        <f t="shared" si="10"/>
        <v/>
      </c>
      <c r="BP25" s="38" t="str">
        <f t="shared" si="11"/>
        <v/>
      </c>
      <c r="BQ25" s="38" t="str">
        <f t="shared" si="12"/>
        <v/>
      </c>
    </row>
    <row r="26" spans="1:69" ht="15" customHeight="1" x14ac:dyDescent="0.3">
      <c r="A26" s="393" t="s">
        <v>24</v>
      </c>
      <c r="B26" s="394"/>
      <c r="C26" s="394"/>
      <c r="D26" s="394"/>
      <c r="E26" s="81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9"/>
      <c r="Z26" s="139"/>
      <c r="AA26" s="140"/>
      <c r="AB26" s="141" t="s">
        <v>16</v>
      </c>
      <c r="AC26" s="140"/>
      <c r="AD26" s="142"/>
      <c r="AE26" s="143"/>
      <c r="AF26" s="143"/>
      <c r="AG26" s="144"/>
      <c r="AH26" s="145"/>
      <c r="AI26" s="145"/>
      <c r="AJ26" s="342"/>
      <c r="AK26" s="343"/>
      <c r="AL26" s="346"/>
      <c r="AM26" s="347"/>
      <c r="AN26" s="146"/>
      <c r="AO26" s="101" t="str">
        <f t="shared" si="19"/>
        <v/>
      </c>
      <c r="AP26" s="113" t="str">
        <f t="shared" si="20"/>
        <v>-</v>
      </c>
      <c r="AQ26" s="119"/>
      <c r="AR26" s="103" t="str">
        <f t="shared" si="21"/>
        <v/>
      </c>
      <c r="AY26" s="38" t="str">
        <f t="shared" si="1"/>
        <v/>
      </c>
      <c r="AZ26" s="38" t="str">
        <f t="shared" si="2"/>
        <v>0</v>
      </c>
      <c r="BA26" s="38" t="str">
        <f t="shared" si="3"/>
        <v>0</v>
      </c>
      <c r="BB26" s="38" t="str">
        <f t="shared" si="4"/>
        <v>0</v>
      </c>
      <c r="BC26" s="38">
        <f t="shared" si="5"/>
        <v>0</v>
      </c>
      <c r="BD26" s="38">
        <f t="shared" si="6"/>
        <v>0</v>
      </c>
      <c r="BL26" s="38" t="str">
        <f t="shared" si="7"/>
        <v/>
      </c>
      <c r="BM26" s="38" t="str">
        <f t="shared" si="8"/>
        <v/>
      </c>
      <c r="BN26" s="38" t="str">
        <f t="shared" si="9"/>
        <v/>
      </c>
      <c r="BO26" s="38" t="str">
        <f t="shared" si="10"/>
        <v/>
      </c>
      <c r="BP26" s="38" t="str">
        <f t="shared" si="11"/>
        <v/>
      </c>
      <c r="BQ26" s="38" t="str">
        <f t="shared" si="12"/>
        <v/>
      </c>
    </row>
    <row r="27" spans="1:69" ht="15.6" x14ac:dyDescent="0.3">
      <c r="A27" s="393"/>
      <c r="B27" s="394"/>
      <c r="C27" s="394"/>
      <c r="D27" s="394"/>
      <c r="E27" s="81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9"/>
      <c r="Z27" s="139"/>
      <c r="AA27" s="140"/>
      <c r="AB27" s="141" t="s">
        <v>16</v>
      </c>
      <c r="AC27" s="140"/>
      <c r="AD27" s="142"/>
      <c r="AE27" s="143"/>
      <c r="AF27" s="143"/>
      <c r="AG27" s="144"/>
      <c r="AH27" s="145"/>
      <c r="AI27" s="145"/>
      <c r="AJ27" s="342"/>
      <c r="AK27" s="343"/>
      <c r="AL27" s="346"/>
      <c r="AM27" s="347"/>
      <c r="AN27" s="146"/>
      <c r="AO27" s="101" t="str">
        <f t="shared" si="19"/>
        <v/>
      </c>
      <c r="AP27" s="113" t="str">
        <f t="shared" si="20"/>
        <v>-</v>
      </c>
      <c r="AQ27" s="119"/>
      <c r="AR27" s="103" t="str">
        <f t="shared" si="21"/>
        <v/>
      </c>
      <c r="AY27" s="38" t="str">
        <f t="shared" si="1"/>
        <v/>
      </c>
      <c r="AZ27" s="38" t="str">
        <f t="shared" si="2"/>
        <v>0</v>
      </c>
      <c r="BA27" s="38" t="str">
        <f t="shared" si="3"/>
        <v>0</v>
      </c>
      <c r="BB27" s="38" t="str">
        <f t="shared" si="4"/>
        <v>0</v>
      </c>
      <c r="BC27" s="38">
        <f t="shared" si="5"/>
        <v>0</v>
      </c>
      <c r="BD27" s="38">
        <f t="shared" si="6"/>
        <v>0</v>
      </c>
      <c r="BL27" s="38" t="str">
        <f t="shared" si="7"/>
        <v/>
      </c>
      <c r="BM27" s="38" t="str">
        <f t="shared" si="8"/>
        <v/>
      </c>
      <c r="BN27" s="38" t="str">
        <f t="shared" si="9"/>
        <v/>
      </c>
      <c r="BO27" s="38" t="str">
        <f t="shared" si="10"/>
        <v/>
      </c>
      <c r="BP27" s="38" t="str">
        <f t="shared" si="11"/>
        <v/>
      </c>
      <c r="BQ27" s="38" t="str">
        <f t="shared" si="12"/>
        <v/>
      </c>
    </row>
    <row r="28" spans="1:69" ht="15.6" x14ac:dyDescent="0.3">
      <c r="A28" s="395"/>
      <c r="B28" s="396"/>
      <c r="C28" s="396"/>
      <c r="D28" s="396"/>
      <c r="E28" s="81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1"/>
      <c r="Z28" s="147"/>
      <c r="AA28" s="140"/>
      <c r="AB28" s="148" t="str">
        <f>+AB25</f>
        <v>-</v>
      </c>
      <c r="AC28" s="140"/>
      <c r="AD28" s="142"/>
      <c r="AE28" s="143"/>
      <c r="AF28" s="143"/>
      <c r="AG28" s="144"/>
      <c r="AH28" s="145"/>
      <c r="AI28" s="145"/>
      <c r="AJ28" s="342"/>
      <c r="AK28" s="343"/>
      <c r="AL28" s="346"/>
      <c r="AM28" s="347"/>
      <c r="AN28" s="146"/>
      <c r="AO28" s="101" t="str">
        <f t="shared" si="19"/>
        <v/>
      </c>
      <c r="AP28" s="113" t="str">
        <f t="shared" si="20"/>
        <v>-</v>
      </c>
      <c r="AQ28" s="119"/>
      <c r="AR28" s="103" t="str">
        <f t="shared" si="21"/>
        <v/>
      </c>
      <c r="AY28" s="38" t="str">
        <f t="shared" si="1"/>
        <v/>
      </c>
      <c r="AZ28" s="38" t="str">
        <f t="shared" si="2"/>
        <v>0</v>
      </c>
      <c r="BA28" s="38" t="str">
        <f t="shared" si="3"/>
        <v>0</v>
      </c>
      <c r="BB28" s="38" t="str">
        <f t="shared" si="4"/>
        <v>0</v>
      </c>
      <c r="BC28" s="38">
        <f t="shared" si="5"/>
        <v>0</v>
      </c>
      <c r="BD28" s="38">
        <f t="shared" si="6"/>
        <v>0</v>
      </c>
      <c r="BL28" s="38" t="str">
        <f t="shared" si="7"/>
        <v/>
      </c>
      <c r="BM28" s="38" t="str">
        <f t="shared" si="8"/>
        <v/>
      </c>
      <c r="BN28" s="38" t="str">
        <f t="shared" si="9"/>
        <v/>
      </c>
      <c r="BO28" s="38" t="str">
        <f t="shared" si="10"/>
        <v/>
      </c>
      <c r="BP28" s="38" t="str">
        <f t="shared" si="11"/>
        <v/>
      </c>
      <c r="BQ28" s="38" t="str">
        <f t="shared" si="12"/>
        <v/>
      </c>
    </row>
    <row r="29" spans="1:69" ht="15.6" x14ac:dyDescent="0.3">
      <c r="A29" s="86" t="s">
        <v>0</v>
      </c>
      <c r="B29" s="87" t="s">
        <v>1</v>
      </c>
      <c r="C29" s="64"/>
      <c r="D29" s="89"/>
      <c r="E29" s="88" t="s">
        <v>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90"/>
      <c r="V29" s="91" t="s">
        <v>3</v>
      </c>
      <c r="W29" s="91" t="s">
        <v>4</v>
      </c>
      <c r="X29" s="91" t="s">
        <v>5</v>
      </c>
      <c r="Y29" s="92" t="s">
        <v>6</v>
      </c>
      <c r="Z29" s="111"/>
      <c r="AA29" s="149"/>
      <c r="AB29" s="150" t="str">
        <f t="shared" si="16"/>
        <v>-</v>
      </c>
      <c r="AC29" s="149"/>
      <c r="AD29" s="151"/>
      <c r="AE29" s="152"/>
      <c r="AF29" s="152"/>
      <c r="AG29" s="153"/>
      <c r="AH29" s="154"/>
      <c r="AI29" s="154"/>
      <c r="AJ29" s="342"/>
      <c r="AK29" s="343"/>
      <c r="AL29" s="348"/>
      <c r="AM29" s="349"/>
      <c r="AN29" s="155"/>
      <c r="AO29" s="101" t="str">
        <f t="shared" si="19"/>
        <v/>
      </c>
      <c r="AP29" s="113" t="str">
        <f t="shared" si="20"/>
        <v>-</v>
      </c>
      <c r="AQ29" s="119"/>
      <c r="AR29" s="103" t="str">
        <f t="shared" si="21"/>
        <v/>
      </c>
      <c r="AY29" s="38" t="str">
        <f t="shared" si="1"/>
        <v/>
      </c>
      <c r="AZ29" s="38" t="str">
        <f t="shared" si="2"/>
        <v>0</v>
      </c>
      <c r="BA29" s="38" t="str">
        <f t="shared" si="3"/>
        <v>0</v>
      </c>
      <c r="BB29" s="38" t="str">
        <f t="shared" si="4"/>
        <v>0</v>
      </c>
      <c r="BC29" s="38">
        <f t="shared" si="5"/>
        <v>0</v>
      </c>
      <c r="BD29" s="38">
        <f t="shared" si="6"/>
        <v>0</v>
      </c>
      <c r="BL29" s="38" t="str">
        <f t="shared" si="7"/>
        <v/>
      </c>
      <c r="BM29" s="38" t="str">
        <f t="shared" si="8"/>
        <v/>
      </c>
      <c r="BN29" s="38" t="str">
        <f t="shared" si="9"/>
        <v/>
      </c>
      <c r="BO29" s="38" t="str">
        <f t="shared" si="10"/>
        <v/>
      </c>
      <c r="BP29" s="38" t="str">
        <f t="shared" si="11"/>
        <v/>
      </c>
      <c r="BQ29" s="38" t="str">
        <f t="shared" si="12"/>
        <v/>
      </c>
    </row>
    <row r="30" spans="1:69" ht="15.6" x14ac:dyDescent="0.3">
      <c r="A30" s="104" t="s">
        <v>265</v>
      </c>
      <c r="B30" s="397">
        <f>IF(ISBLANK(HLOOKUP($F$25,spelerslijsten!$B$1:$J$22,4,FALSE)),"",HLOOKUP($F$25,spelerslijsten!$B$1:$J$22,4,FALSE))</f>
        <v>3</v>
      </c>
      <c r="C30" s="398"/>
      <c r="D30" s="105"/>
      <c r="E30" s="106" t="str">
        <f>IF(ISBLANK(HLOOKUP($F$25,spelerslijsten!$B$1:$J$22,3,FALSE)),"",HLOOKUP($F$25,spelerslijsten!$B$1:$J$22,3,FALSE))</f>
        <v>Helga Addink</v>
      </c>
      <c r="F30" s="105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8">
        <f t="shared" ref="V30" si="23">SUMIF($AY$13:$AY$46,AT30,$BC$13:$BC$46)</f>
        <v>0</v>
      </c>
      <c r="W30" s="109" t="str">
        <f>IF(AU30&gt;0,"x","")</f>
        <v/>
      </c>
      <c r="X30" s="110" t="str">
        <f>IF(AU30&gt;1,"x","")</f>
        <v/>
      </c>
      <c r="Y30" s="103" t="str">
        <f>IF(AU30&gt;2,"x","")</f>
        <v/>
      </c>
      <c r="Z30" s="111"/>
      <c r="AA30" s="112"/>
      <c r="AB30" s="113" t="str">
        <f t="shared" si="16"/>
        <v>-</v>
      </c>
      <c r="AC30" s="112"/>
      <c r="AD30" s="114"/>
      <c r="AE30" s="115"/>
      <c r="AF30" s="115"/>
      <c r="AG30" s="116"/>
      <c r="AH30" s="117"/>
      <c r="AI30" s="117"/>
      <c r="AJ30" s="342"/>
      <c r="AK30" s="343"/>
      <c r="AL30" s="346"/>
      <c r="AM30" s="347"/>
      <c r="AN30" s="118"/>
      <c r="AO30" s="101" t="str">
        <f t="shared" si="19"/>
        <v/>
      </c>
      <c r="AP30" s="113" t="str">
        <f t="shared" si="20"/>
        <v>-</v>
      </c>
      <c r="AQ30" s="119"/>
      <c r="AR30" s="103" t="str">
        <f t="shared" si="21"/>
        <v/>
      </c>
      <c r="AT30" s="38" t="str">
        <f>CONCATENATE($AV$11&amp;B30)</f>
        <v>B3</v>
      </c>
      <c r="AU30" s="38">
        <f t="shared" si="18"/>
        <v>0</v>
      </c>
      <c r="AY30" s="38" t="str">
        <f t="shared" si="1"/>
        <v/>
      </c>
      <c r="AZ30" s="38" t="str">
        <f t="shared" si="2"/>
        <v>0</v>
      </c>
      <c r="BA30" s="38" t="str">
        <f t="shared" si="3"/>
        <v>0</v>
      </c>
      <c r="BB30" s="38" t="str">
        <f t="shared" si="4"/>
        <v>0</v>
      </c>
      <c r="BC30" s="38">
        <f t="shared" si="5"/>
        <v>0</v>
      </c>
      <c r="BD30" s="38">
        <f t="shared" si="6"/>
        <v>0</v>
      </c>
      <c r="BL30" s="38" t="str">
        <f t="shared" si="7"/>
        <v/>
      </c>
      <c r="BM30" s="38" t="str">
        <f t="shared" si="8"/>
        <v/>
      </c>
      <c r="BN30" s="38" t="str">
        <f t="shared" si="9"/>
        <v/>
      </c>
      <c r="BO30" s="38" t="str">
        <f t="shared" si="10"/>
        <v/>
      </c>
      <c r="BP30" s="38" t="str">
        <f t="shared" si="11"/>
        <v/>
      </c>
      <c r="BQ30" s="38" t="str">
        <f t="shared" si="12"/>
        <v/>
      </c>
    </row>
    <row r="31" spans="1:69" ht="15.6" x14ac:dyDescent="0.3">
      <c r="A31" s="120" t="s">
        <v>265</v>
      </c>
      <c r="B31" s="397">
        <f>IF(ISBLANK(HLOOKUP($F$25,spelerslijsten!$B$1:$J$22,6,FALSE)),"",HLOOKUP($F$25,spelerslijsten!$B$1:$J$22,6,FALSE))</f>
        <v>4</v>
      </c>
      <c r="C31" s="398"/>
      <c r="D31" s="121"/>
      <c r="E31" s="122" t="str">
        <f>IF(ISBLANK(HLOOKUP($F$25,spelerslijsten!$B$1:$J$22,5,FALSE)),"",HLOOKUP($F$25,spelerslijsten!$B$1:$J$22,5,FALSE))</f>
        <v>Werner Dudek</v>
      </c>
      <c r="F31" s="12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08">
        <f t="shared" ref="V31:V39" si="24">SUMIF($AY$13:$AY$46,AT31,$BC$13:$BC$46)</f>
        <v>0</v>
      </c>
      <c r="W31" s="109" t="str">
        <f t="shared" ref="W31:W39" si="25">IF(AU31&gt;0,"x","")</f>
        <v/>
      </c>
      <c r="X31" s="110" t="str">
        <f t="shared" ref="X31:X39" si="26">IF(AU31&gt;1,"x","")</f>
        <v/>
      </c>
      <c r="Y31" s="103" t="str">
        <f t="shared" ref="Y31:Y39" si="27">IF(AU31&gt;2,"x","")</f>
        <v/>
      </c>
      <c r="Z31" s="111"/>
      <c r="AA31" s="112"/>
      <c r="AB31" s="113" t="str">
        <f t="shared" si="16"/>
        <v>-</v>
      </c>
      <c r="AC31" s="112"/>
      <c r="AD31" s="114"/>
      <c r="AE31" s="115"/>
      <c r="AF31" s="115"/>
      <c r="AG31" s="116"/>
      <c r="AH31" s="117"/>
      <c r="AI31" s="117"/>
      <c r="AJ31" s="342"/>
      <c r="AK31" s="343"/>
      <c r="AL31" s="346"/>
      <c r="AM31" s="347"/>
      <c r="AN31" s="118"/>
      <c r="AO31" s="101" t="str">
        <f t="shared" si="19"/>
        <v/>
      </c>
      <c r="AP31" s="113" t="str">
        <f t="shared" si="20"/>
        <v>-</v>
      </c>
      <c r="AQ31" s="119"/>
      <c r="AR31" s="103" t="str">
        <f t="shared" si="21"/>
        <v/>
      </c>
      <c r="AT31" s="38" t="str">
        <f t="shared" ref="AT31:AT39" si="28">CONCATENATE($AV$11&amp;B31)</f>
        <v>B4</v>
      </c>
      <c r="AU31" s="38">
        <f t="shared" si="18"/>
        <v>0</v>
      </c>
      <c r="AY31" s="38" t="str">
        <f t="shared" si="1"/>
        <v/>
      </c>
      <c r="AZ31" s="38" t="str">
        <f t="shared" si="2"/>
        <v>0</v>
      </c>
      <c r="BA31" s="38" t="str">
        <f t="shared" si="3"/>
        <v>0</v>
      </c>
      <c r="BB31" s="38" t="str">
        <f t="shared" si="4"/>
        <v>0</v>
      </c>
      <c r="BC31" s="38">
        <f t="shared" si="5"/>
        <v>0</v>
      </c>
      <c r="BD31" s="38">
        <f t="shared" si="6"/>
        <v>0</v>
      </c>
      <c r="BL31" s="38" t="str">
        <f t="shared" si="7"/>
        <v/>
      </c>
      <c r="BM31" s="38" t="str">
        <f t="shared" si="8"/>
        <v/>
      </c>
      <c r="BN31" s="38" t="str">
        <f t="shared" si="9"/>
        <v/>
      </c>
      <c r="BO31" s="38" t="str">
        <f t="shared" si="10"/>
        <v/>
      </c>
      <c r="BP31" s="38" t="str">
        <f t="shared" si="11"/>
        <v/>
      </c>
      <c r="BQ31" s="38" t="str">
        <f t="shared" si="12"/>
        <v/>
      </c>
    </row>
    <row r="32" spans="1:69" ht="15.6" x14ac:dyDescent="0.3">
      <c r="A32" s="124" t="s">
        <v>265</v>
      </c>
      <c r="B32" s="397">
        <f>IF(ISBLANK(HLOOKUP($F$25,spelerslijsten!$B$1:$J$22,8,FALSE)),"",HLOOKUP($F$25,spelerslijsten!$B$1:$J$22,8,FALSE))</f>
        <v>5</v>
      </c>
      <c r="C32" s="398"/>
      <c r="D32" s="121"/>
      <c r="E32" s="122" t="str">
        <f>IF(ISBLANK(HLOOKUP($F$25,spelerslijsten!$B$1:$J$22,7,FALSE)),"",HLOOKUP($F$25,spelerslijsten!$B$1:$J$22,7,FALSE))</f>
        <v>Luc Mulder</v>
      </c>
      <c r="F32" s="12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08">
        <f t="shared" si="24"/>
        <v>0</v>
      </c>
      <c r="W32" s="109" t="str">
        <f t="shared" si="25"/>
        <v/>
      </c>
      <c r="X32" s="110" t="str">
        <f t="shared" si="26"/>
        <v/>
      </c>
      <c r="Y32" s="103" t="str">
        <f t="shared" si="27"/>
        <v/>
      </c>
      <c r="Z32" s="111"/>
      <c r="AA32" s="112"/>
      <c r="AB32" s="113" t="str">
        <f t="shared" si="16"/>
        <v>-</v>
      </c>
      <c r="AC32" s="112"/>
      <c r="AD32" s="114"/>
      <c r="AE32" s="115"/>
      <c r="AF32" s="115"/>
      <c r="AG32" s="116"/>
      <c r="AH32" s="117"/>
      <c r="AI32" s="117"/>
      <c r="AJ32" s="342"/>
      <c r="AK32" s="343"/>
      <c r="AL32" s="346"/>
      <c r="AM32" s="347"/>
      <c r="AN32" s="118"/>
      <c r="AO32" s="101" t="str">
        <f t="shared" si="19"/>
        <v/>
      </c>
      <c r="AP32" s="113" t="str">
        <f t="shared" si="20"/>
        <v>-</v>
      </c>
      <c r="AQ32" s="119"/>
      <c r="AR32" s="103" t="str">
        <f t="shared" si="21"/>
        <v/>
      </c>
      <c r="AT32" s="38" t="str">
        <f t="shared" si="28"/>
        <v>B5</v>
      </c>
      <c r="AU32" s="38">
        <f t="shared" si="18"/>
        <v>0</v>
      </c>
      <c r="AY32" s="38" t="str">
        <f t="shared" si="1"/>
        <v/>
      </c>
      <c r="AZ32" s="38" t="str">
        <f t="shared" si="2"/>
        <v>0</v>
      </c>
      <c r="BA32" s="38" t="str">
        <f t="shared" si="3"/>
        <v>0</v>
      </c>
      <c r="BB32" s="38" t="str">
        <f t="shared" si="4"/>
        <v>0</v>
      </c>
      <c r="BC32" s="38">
        <f t="shared" si="5"/>
        <v>0</v>
      </c>
      <c r="BD32" s="38">
        <f t="shared" si="6"/>
        <v>0</v>
      </c>
      <c r="BL32" s="38" t="str">
        <f t="shared" si="7"/>
        <v/>
      </c>
      <c r="BM32" s="38" t="str">
        <f t="shared" si="8"/>
        <v/>
      </c>
      <c r="BN32" s="38" t="str">
        <f t="shared" si="9"/>
        <v/>
      </c>
      <c r="BO32" s="38" t="str">
        <f t="shared" si="10"/>
        <v/>
      </c>
      <c r="BP32" s="38" t="str">
        <f t="shared" si="11"/>
        <v/>
      </c>
      <c r="BQ32" s="38" t="str">
        <f t="shared" si="12"/>
        <v/>
      </c>
    </row>
    <row r="33" spans="1:69" ht="15.6" x14ac:dyDescent="0.3">
      <c r="A33" s="124" t="s">
        <v>265</v>
      </c>
      <c r="B33" s="397">
        <f>IF(ISBLANK(HLOOKUP($F$25,spelerslijsten!$B$1:$J$22,10,FALSE)),"",HLOOKUP($F$25,spelerslijsten!$B$1:$J$22,10,FALSE))</f>
        <v>7</v>
      </c>
      <c r="C33" s="398"/>
      <c r="D33" s="121"/>
      <c r="E33" s="122" t="str">
        <f>IF(ISBLANK(HLOOKUP($F$25,spelerslijsten!$B$1:$J$22,9,FALSE)),"",HLOOKUP($F$25,spelerslijsten!$B$1:$J$22,9,FALSE))</f>
        <v>Ties Bouten</v>
      </c>
      <c r="F33" s="12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08">
        <f t="shared" si="24"/>
        <v>0</v>
      </c>
      <c r="W33" s="109" t="str">
        <f t="shared" si="25"/>
        <v/>
      </c>
      <c r="X33" s="110" t="str">
        <f t="shared" si="26"/>
        <v/>
      </c>
      <c r="Y33" s="103" t="str">
        <f t="shared" si="27"/>
        <v/>
      </c>
      <c r="Z33" s="111"/>
      <c r="AA33" s="112"/>
      <c r="AB33" s="113" t="str">
        <f t="shared" si="16"/>
        <v>-</v>
      </c>
      <c r="AC33" s="112"/>
      <c r="AD33" s="114"/>
      <c r="AE33" s="115"/>
      <c r="AF33" s="115"/>
      <c r="AG33" s="116"/>
      <c r="AH33" s="117"/>
      <c r="AI33" s="117"/>
      <c r="AJ33" s="342"/>
      <c r="AK33" s="343"/>
      <c r="AL33" s="346"/>
      <c r="AM33" s="347"/>
      <c r="AN33" s="118"/>
      <c r="AO33" s="101" t="str">
        <f t="shared" si="19"/>
        <v/>
      </c>
      <c r="AP33" s="113" t="str">
        <f t="shared" si="20"/>
        <v>-</v>
      </c>
      <c r="AQ33" s="119"/>
      <c r="AR33" s="103" t="str">
        <f t="shared" si="21"/>
        <v/>
      </c>
      <c r="AT33" s="38" t="str">
        <f t="shared" si="28"/>
        <v>B7</v>
      </c>
      <c r="AU33" s="38">
        <f t="shared" si="18"/>
        <v>0</v>
      </c>
      <c r="AY33" s="38" t="str">
        <f t="shared" si="1"/>
        <v/>
      </c>
      <c r="AZ33" s="38" t="str">
        <f t="shared" si="2"/>
        <v>0</v>
      </c>
      <c r="BA33" s="38" t="str">
        <f t="shared" si="3"/>
        <v>0</v>
      </c>
      <c r="BB33" s="38" t="str">
        <f t="shared" si="4"/>
        <v>0</v>
      </c>
      <c r="BC33" s="38">
        <f t="shared" si="5"/>
        <v>0</v>
      </c>
      <c r="BD33" s="38">
        <f t="shared" si="6"/>
        <v>0</v>
      </c>
      <c r="BL33" s="38" t="str">
        <f t="shared" si="7"/>
        <v/>
      </c>
      <c r="BM33" s="38" t="str">
        <f t="shared" si="8"/>
        <v/>
      </c>
      <c r="BN33" s="38" t="str">
        <f t="shared" si="9"/>
        <v/>
      </c>
      <c r="BO33" s="38" t="str">
        <f t="shared" si="10"/>
        <v/>
      </c>
      <c r="BP33" s="38" t="str">
        <f t="shared" si="11"/>
        <v/>
      </c>
      <c r="BQ33" s="38" t="str">
        <f t="shared" si="12"/>
        <v/>
      </c>
    </row>
    <row r="34" spans="1:69" ht="15.6" x14ac:dyDescent="0.3">
      <c r="A34" s="124" t="s">
        <v>265</v>
      </c>
      <c r="B34" s="397">
        <f>IF(ISBLANK(HLOOKUP($F$25,spelerslijsten!$B$1:$J$22,12,FALSE)),"",HLOOKUP($F$25,spelerslijsten!$B$1:$J$22,12,FALSE))</f>
        <v>9</v>
      </c>
      <c r="C34" s="398"/>
      <c r="D34" s="121"/>
      <c r="E34" s="122" t="str">
        <f>IF(ISBLANK(HLOOKUP($F$25,spelerslijsten!$B$1:$J$22,11,FALSE)),"",HLOOKUP($F$25,spelerslijsten!$B$1:$J$22,11,FALSE))</f>
        <v>Wilma van Helden</v>
      </c>
      <c r="F34" s="12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08">
        <f t="shared" si="24"/>
        <v>2</v>
      </c>
      <c r="W34" s="109" t="str">
        <f t="shared" si="25"/>
        <v/>
      </c>
      <c r="X34" s="110" t="str">
        <f t="shared" si="26"/>
        <v/>
      </c>
      <c r="Y34" s="103" t="str">
        <f t="shared" si="27"/>
        <v/>
      </c>
      <c r="Z34" s="111"/>
      <c r="AA34" s="112"/>
      <c r="AB34" s="113" t="str">
        <f t="shared" si="16"/>
        <v>-</v>
      </c>
      <c r="AC34" s="112"/>
      <c r="AD34" s="114"/>
      <c r="AE34" s="115"/>
      <c r="AF34" s="115"/>
      <c r="AG34" s="116"/>
      <c r="AH34" s="117"/>
      <c r="AI34" s="117"/>
      <c r="AJ34" s="342"/>
      <c r="AK34" s="343"/>
      <c r="AL34" s="346"/>
      <c r="AM34" s="347"/>
      <c r="AN34" s="118"/>
      <c r="AO34" s="101" t="str">
        <f t="shared" si="19"/>
        <v/>
      </c>
      <c r="AP34" s="113" t="str">
        <f t="shared" si="20"/>
        <v>-</v>
      </c>
      <c r="AQ34" s="119"/>
      <c r="AR34" s="103" t="str">
        <f t="shared" si="21"/>
        <v/>
      </c>
      <c r="AT34" s="38" t="str">
        <f t="shared" si="28"/>
        <v>B9</v>
      </c>
      <c r="AU34" s="38">
        <f t="shared" si="18"/>
        <v>0</v>
      </c>
      <c r="AY34" s="38" t="str">
        <f t="shared" si="1"/>
        <v/>
      </c>
      <c r="AZ34" s="38" t="str">
        <f t="shared" si="2"/>
        <v>0</v>
      </c>
      <c r="BA34" s="38" t="str">
        <f t="shared" si="3"/>
        <v>0</v>
      </c>
      <c r="BB34" s="38" t="str">
        <f t="shared" si="4"/>
        <v>0</v>
      </c>
      <c r="BC34" s="38">
        <f t="shared" si="5"/>
        <v>0</v>
      </c>
      <c r="BD34" s="38">
        <f t="shared" si="6"/>
        <v>0</v>
      </c>
      <c r="BL34" s="38" t="str">
        <f t="shared" si="7"/>
        <v/>
      </c>
      <c r="BM34" s="38" t="str">
        <f t="shared" si="8"/>
        <v/>
      </c>
      <c r="BN34" s="38" t="str">
        <f t="shared" si="9"/>
        <v/>
      </c>
      <c r="BO34" s="38" t="str">
        <f t="shared" si="10"/>
        <v/>
      </c>
      <c r="BP34" s="38" t="str">
        <f t="shared" si="11"/>
        <v/>
      </c>
      <c r="BQ34" s="38" t="str">
        <f t="shared" si="12"/>
        <v/>
      </c>
    </row>
    <row r="35" spans="1:69" ht="15.6" x14ac:dyDescent="0.3">
      <c r="A35" s="124" t="s">
        <v>265</v>
      </c>
      <c r="B35" s="397">
        <f>IF(ISBLANK(HLOOKUP($F$25,spelerslijsten!$B$1:$J$22,14,FALSE)),"",HLOOKUP($F$25,spelerslijsten!$B$1:$J$22,14,FALSE))</f>
        <v>11</v>
      </c>
      <c r="C35" s="398"/>
      <c r="D35" s="121"/>
      <c r="E35" s="122" t="str">
        <f>IF(ISBLANK(HLOOKUP($F$25,spelerslijsten!$B$1:$J$22,13,FALSE)),"",HLOOKUP($F$25,spelerslijsten!$B$1:$J$22,13,FALSE))</f>
        <v>Sonja Bouten</v>
      </c>
      <c r="F35" s="12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08">
        <f t="shared" si="24"/>
        <v>0</v>
      </c>
      <c r="W35" s="109" t="str">
        <f t="shared" si="25"/>
        <v/>
      </c>
      <c r="X35" s="110" t="str">
        <f t="shared" si="26"/>
        <v/>
      </c>
      <c r="Y35" s="103" t="str">
        <f t="shared" si="27"/>
        <v/>
      </c>
      <c r="Z35" s="111"/>
      <c r="AA35" s="112"/>
      <c r="AB35" s="113" t="str">
        <f t="shared" si="16"/>
        <v>-</v>
      </c>
      <c r="AC35" s="112"/>
      <c r="AD35" s="114"/>
      <c r="AE35" s="115"/>
      <c r="AF35" s="115"/>
      <c r="AG35" s="116"/>
      <c r="AH35" s="117"/>
      <c r="AI35" s="117"/>
      <c r="AJ35" s="342"/>
      <c r="AK35" s="343"/>
      <c r="AL35" s="346"/>
      <c r="AM35" s="347"/>
      <c r="AN35" s="118"/>
      <c r="AO35" s="101" t="str">
        <f t="shared" si="19"/>
        <v/>
      </c>
      <c r="AP35" s="113" t="str">
        <f t="shared" si="20"/>
        <v>-</v>
      </c>
      <c r="AQ35" s="119"/>
      <c r="AR35" s="103" t="str">
        <f t="shared" si="21"/>
        <v/>
      </c>
      <c r="AT35" s="38" t="str">
        <f t="shared" si="28"/>
        <v>B11</v>
      </c>
      <c r="AU35" s="38">
        <f t="shared" si="18"/>
        <v>0</v>
      </c>
      <c r="AY35" s="38" t="str">
        <f t="shared" si="1"/>
        <v/>
      </c>
      <c r="AZ35" s="38" t="str">
        <f t="shared" si="2"/>
        <v>0</v>
      </c>
      <c r="BA35" s="38" t="str">
        <f t="shared" si="3"/>
        <v>0</v>
      </c>
      <c r="BB35" s="38" t="str">
        <f t="shared" si="4"/>
        <v>0</v>
      </c>
      <c r="BC35" s="38">
        <f t="shared" si="5"/>
        <v>0</v>
      </c>
      <c r="BD35" s="38">
        <f t="shared" si="6"/>
        <v>0</v>
      </c>
      <c r="BL35" s="38" t="str">
        <f t="shared" si="7"/>
        <v/>
      </c>
      <c r="BM35" s="38" t="str">
        <f t="shared" si="8"/>
        <v/>
      </c>
      <c r="BN35" s="38" t="str">
        <f t="shared" si="9"/>
        <v/>
      </c>
      <c r="BO35" s="38" t="str">
        <f t="shared" si="10"/>
        <v/>
      </c>
      <c r="BP35" s="38" t="str">
        <f t="shared" si="11"/>
        <v/>
      </c>
      <c r="BQ35" s="38" t="str">
        <f t="shared" si="12"/>
        <v/>
      </c>
    </row>
    <row r="36" spans="1:69" ht="15.6" x14ac:dyDescent="0.3">
      <c r="A36" s="124" t="s">
        <v>265</v>
      </c>
      <c r="B36" s="397">
        <f>IF(ISBLANK(HLOOKUP($F$25,spelerslijsten!$B$1:$J$22,16,FALSE)),"",HLOOKUP($F$25,spelerslijsten!$B$1:$J$22,16,FALSE))</f>
        <v>12</v>
      </c>
      <c r="C36" s="398"/>
      <c r="D36" s="121"/>
      <c r="E36" s="122" t="str">
        <f>IF(ISBLANK(HLOOKUP($F$25,spelerslijsten!$B$1:$J$22,15,FALSE)),"",HLOOKUP($F$25,spelerslijsten!$B$1:$J$22,15,FALSE))</f>
        <v>Hans Reijnders (leen)</v>
      </c>
      <c r="F36" s="12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08">
        <f t="shared" si="24"/>
        <v>0</v>
      </c>
      <c r="W36" s="109" t="str">
        <f t="shared" si="25"/>
        <v/>
      </c>
      <c r="X36" s="110" t="str">
        <f t="shared" si="26"/>
        <v/>
      </c>
      <c r="Y36" s="103" t="str">
        <f t="shared" si="27"/>
        <v/>
      </c>
      <c r="Z36" s="111"/>
      <c r="AA36" s="112"/>
      <c r="AB36" s="113" t="str">
        <f t="shared" si="16"/>
        <v>-</v>
      </c>
      <c r="AC36" s="112"/>
      <c r="AD36" s="114"/>
      <c r="AE36" s="115"/>
      <c r="AF36" s="115"/>
      <c r="AG36" s="116"/>
      <c r="AH36" s="117"/>
      <c r="AI36" s="117"/>
      <c r="AJ36" s="342"/>
      <c r="AK36" s="343"/>
      <c r="AL36" s="346"/>
      <c r="AM36" s="347"/>
      <c r="AN36" s="118"/>
      <c r="AO36" s="101" t="str">
        <f t="shared" si="19"/>
        <v/>
      </c>
      <c r="AP36" s="113" t="str">
        <f t="shared" si="20"/>
        <v>-</v>
      </c>
      <c r="AQ36" s="119"/>
      <c r="AR36" s="103" t="str">
        <f t="shared" si="21"/>
        <v/>
      </c>
      <c r="AT36" s="38" t="str">
        <f t="shared" si="28"/>
        <v>B12</v>
      </c>
      <c r="AU36" s="38">
        <f t="shared" si="18"/>
        <v>0</v>
      </c>
      <c r="AY36" s="38" t="str">
        <f t="shared" si="1"/>
        <v/>
      </c>
      <c r="AZ36" s="38" t="str">
        <f t="shared" si="2"/>
        <v>0</v>
      </c>
      <c r="BA36" s="38" t="str">
        <f t="shared" si="3"/>
        <v>0</v>
      </c>
      <c r="BB36" s="38" t="str">
        <f t="shared" si="4"/>
        <v>0</v>
      </c>
      <c r="BC36" s="38">
        <f t="shared" si="5"/>
        <v>0</v>
      </c>
      <c r="BD36" s="38">
        <f t="shared" si="6"/>
        <v>0</v>
      </c>
      <c r="BL36" s="38" t="str">
        <f t="shared" si="7"/>
        <v/>
      </c>
      <c r="BM36" s="38" t="str">
        <f t="shared" si="8"/>
        <v/>
      </c>
      <c r="BN36" s="38" t="str">
        <f t="shared" si="9"/>
        <v/>
      </c>
      <c r="BO36" s="38" t="str">
        <f t="shared" si="10"/>
        <v/>
      </c>
      <c r="BP36" s="38" t="str">
        <f t="shared" si="11"/>
        <v/>
      </c>
      <c r="BQ36" s="38" t="str">
        <f t="shared" si="12"/>
        <v/>
      </c>
    </row>
    <row r="37" spans="1:69" ht="15.6" x14ac:dyDescent="0.3">
      <c r="A37" s="124"/>
      <c r="B37" s="397" t="str">
        <f>IF(ISBLANK(HLOOKUP($F$25,spelerslijsten!$B$1:$J$22,18,FALSE)),"",HLOOKUP($F$25,spelerslijsten!$B$1:$J$22,18,FALSE))</f>
        <v/>
      </c>
      <c r="C37" s="398"/>
      <c r="D37" s="121"/>
      <c r="E37" s="122" t="str">
        <f>IF(ISBLANK(HLOOKUP($F$25,spelerslijsten!$B$1:$J$22,17,FALSE)),"",HLOOKUP($F$25,spelerslijsten!$B$1:$J$22,17,FALSE))</f>
        <v/>
      </c>
      <c r="F37" s="12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08">
        <f t="shared" si="24"/>
        <v>0</v>
      </c>
      <c r="W37" s="109" t="str">
        <f t="shared" si="25"/>
        <v/>
      </c>
      <c r="X37" s="110" t="str">
        <f t="shared" si="26"/>
        <v/>
      </c>
      <c r="Y37" s="103" t="str">
        <f t="shared" si="27"/>
        <v/>
      </c>
      <c r="Z37" s="111"/>
      <c r="AA37" s="112"/>
      <c r="AB37" s="113" t="str">
        <f t="shared" si="16"/>
        <v>-</v>
      </c>
      <c r="AC37" s="112"/>
      <c r="AD37" s="114"/>
      <c r="AE37" s="115"/>
      <c r="AF37" s="115"/>
      <c r="AG37" s="116"/>
      <c r="AH37" s="117"/>
      <c r="AI37" s="117"/>
      <c r="AJ37" s="342"/>
      <c r="AK37" s="343"/>
      <c r="AL37" s="346"/>
      <c r="AM37" s="347"/>
      <c r="AN37" s="118"/>
      <c r="AO37" s="101" t="str">
        <f t="shared" si="19"/>
        <v/>
      </c>
      <c r="AP37" s="113" t="str">
        <f t="shared" si="20"/>
        <v>-</v>
      </c>
      <c r="AQ37" s="119"/>
      <c r="AR37" s="103" t="str">
        <f t="shared" si="21"/>
        <v/>
      </c>
      <c r="AT37" s="38" t="str">
        <f t="shared" si="28"/>
        <v>B</v>
      </c>
      <c r="AU37" s="38">
        <f t="shared" si="18"/>
        <v>0</v>
      </c>
      <c r="AY37" s="38" t="str">
        <f t="shared" si="1"/>
        <v/>
      </c>
      <c r="AZ37" s="38" t="str">
        <f t="shared" si="2"/>
        <v>0</v>
      </c>
      <c r="BA37" s="38" t="str">
        <f t="shared" si="3"/>
        <v>0</v>
      </c>
      <c r="BB37" s="38" t="str">
        <f t="shared" si="4"/>
        <v>0</v>
      </c>
      <c r="BC37" s="38">
        <f t="shared" si="5"/>
        <v>0</v>
      </c>
      <c r="BD37" s="38">
        <f t="shared" si="6"/>
        <v>0</v>
      </c>
      <c r="BL37" s="38" t="str">
        <f t="shared" si="7"/>
        <v/>
      </c>
      <c r="BM37" s="38" t="str">
        <f t="shared" si="8"/>
        <v/>
      </c>
      <c r="BN37" s="38" t="str">
        <f t="shared" si="9"/>
        <v/>
      </c>
      <c r="BO37" s="38" t="str">
        <f t="shared" si="10"/>
        <v/>
      </c>
      <c r="BP37" s="38" t="str">
        <f t="shared" si="11"/>
        <v/>
      </c>
      <c r="BQ37" s="38" t="str">
        <f t="shared" si="12"/>
        <v/>
      </c>
    </row>
    <row r="38" spans="1:69" ht="15.6" x14ac:dyDescent="0.3">
      <c r="A38" s="124"/>
      <c r="B38" s="397" t="str">
        <f>IF(ISBLANK(HLOOKUP($F$25,spelerslijsten!$B$1:$J$22,20,FALSE)),"",HLOOKUP($F$25,spelerslijsten!$B$1:$J$22,20,FALSE))</f>
        <v/>
      </c>
      <c r="C38" s="398"/>
      <c r="D38" s="121"/>
      <c r="E38" s="122" t="str">
        <f>IF(ISBLANK(HLOOKUP($F$25,spelerslijsten!$B$1:$J$22,19,FALSE)),"",HLOOKUP($F$25,spelerslijsten!$B$1:$J$22,19,FALSE))</f>
        <v/>
      </c>
      <c r="F38" s="12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08">
        <f t="shared" si="24"/>
        <v>0</v>
      </c>
      <c r="W38" s="109" t="str">
        <f t="shared" si="25"/>
        <v/>
      </c>
      <c r="X38" s="110" t="str">
        <f t="shared" si="26"/>
        <v/>
      </c>
      <c r="Y38" s="103" t="str">
        <f t="shared" si="27"/>
        <v/>
      </c>
      <c r="Z38" s="111"/>
      <c r="AA38" s="112"/>
      <c r="AB38" s="113" t="str">
        <f t="shared" si="16"/>
        <v>-</v>
      </c>
      <c r="AC38" s="112"/>
      <c r="AD38" s="114"/>
      <c r="AE38" s="115"/>
      <c r="AF38" s="115"/>
      <c r="AG38" s="116"/>
      <c r="AH38" s="117"/>
      <c r="AI38" s="117"/>
      <c r="AJ38" s="342"/>
      <c r="AK38" s="343"/>
      <c r="AL38" s="346"/>
      <c r="AM38" s="347"/>
      <c r="AN38" s="118"/>
      <c r="AO38" s="101" t="str">
        <f t="shared" si="19"/>
        <v/>
      </c>
      <c r="AP38" s="113" t="str">
        <f t="shared" si="20"/>
        <v>-</v>
      </c>
      <c r="AQ38" s="119"/>
      <c r="AR38" s="103" t="str">
        <f t="shared" si="21"/>
        <v/>
      </c>
      <c r="AT38" s="38" t="str">
        <f t="shared" si="28"/>
        <v>B</v>
      </c>
      <c r="AU38" s="38">
        <f t="shared" si="18"/>
        <v>0</v>
      </c>
      <c r="AY38" s="38" t="str">
        <f t="shared" si="1"/>
        <v/>
      </c>
      <c r="AZ38" s="38" t="str">
        <f t="shared" si="2"/>
        <v>0</v>
      </c>
      <c r="BA38" s="38" t="str">
        <f t="shared" si="3"/>
        <v>0</v>
      </c>
      <c r="BB38" s="38" t="str">
        <f t="shared" si="4"/>
        <v>0</v>
      </c>
      <c r="BC38" s="38">
        <f t="shared" si="5"/>
        <v>0</v>
      </c>
      <c r="BD38" s="38">
        <f t="shared" si="6"/>
        <v>0</v>
      </c>
      <c r="BL38" s="38" t="str">
        <f t="shared" si="7"/>
        <v/>
      </c>
      <c r="BM38" s="38" t="str">
        <f t="shared" si="8"/>
        <v/>
      </c>
      <c r="BN38" s="38" t="str">
        <f t="shared" si="9"/>
        <v/>
      </c>
      <c r="BO38" s="38" t="str">
        <f t="shared" si="10"/>
        <v/>
      </c>
      <c r="BP38" s="38" t="str">
        <f t="shared" si="11"/>
        <v/>
      </c>
      <c r="BQ38" s="38" t="str">
        <f t="shared" si="12"/>
        <v/>
      </c>
    </row>
    <row r="39" spans="1:69" ht="15.6" x14ac:dyDescent="0.3">
      <c r="A39" s="125"/>
      <c r="B39" s="397" t="str">
        <f>IF(ISBLANK(HLOOKUP($F$25,spelerslijsten!$B$1:$J$22,22,FALSE)),"",HLOOKUP($F$25,spelerslijsten!$B$1:$J$22,22,FALSE))</f>
        <v/>
      </c>
      <c r="C39" s="398"/>
      <c r="D39" s="126"/>
      <c r="E39" s="259" t="str">
        <f>IF(ISBLANK(HLOOKUP($F$25,spelerslijsten!$B$1:$J$22,21,FALSE)),"",HLOOKUP($F$25,spelerslijsten!$B$1:$J$22,21,FALSE))</f>
        <v/>
      </c>
      <c r="F39" s="126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08">
        <f t="shared" si="24"/>
        <v>0</v>
      </c>
      <c r="W39" s="109" t="str">
        <f t="shared" si="25"/>
        <v/>
      </c>
      <c r="X39" s="110" t="str">
        <f t="shared" si="26"/>
        <v/>
      </c>
      <c r="Y39" s="103" t="str">
        <f t="shared" si="27"/>
        <v/>
      </c>
      <c r="Z39" s="111"/>
      <c r="AA39" s="112"/>
      <c r="AB39" s="113" t="str">
        <f t="shared" si="16"/>
        <v>-</v>
      </c>
      <c r="AC39" s="112"/>
      <c r="AD39" s="114"/>
      <c r="AE39" s="115"/>
      <c r="AF39" s="115"/>
      <c r="AG39" s="116"/>
      <c r="AH39" s="117"/>
      <c r="AI39" s="117"/>
      <c r="AJ39" s="342"/>
      <c r="AK39" s="343"/>
      <c r="AL39" s="346"/>
      <c r="AM39" s="347"/>
      <c r="AN39" s="118"/>
      <c r="AO39" s="101" t="str">
        <f t="shared" si="19"/>
        <v/>
      </c>
      <c r="AP39" s="113" t="str">
        <f t="shared" si="20"/>
        <v>-</v>
      </c>
      <c r="AQ39" s="119"/>
      <c r="AR39" s="103" t="str">
        <f t="shared" si="21"/>
        <v/>
      </c>
      <c r="AT39" s="38" t="str">
        <f t="shared" si="28"/>
        <v>B</v>
      </c>
      <c r="AU39" s="38">
        <f t="shared" si="18"/>
        <v>0</v>
      </c>
      <c r="AY39" s="38" t="str">
        <f t="shared" si="1"/>
        <v/>
      </c>
      <c r="AZ39" s="38" t="str">
        <f t="shared" si="2"/>
        <v>0</v>
      </c>
      <c r="BA39" s="38" t="str">
        <f t="shared" si="3"/>
        <v>0</v>
      </c>
      <c r="BB39" s="38" t="str">
        <f t="shared" si="4"/>
        <v>0</v>
      </c>
      <c r="BC39" s="38">
        <f t="shared" si="5"/>
        <v>0</v>
      </c>
      <c r="BD39" s="38">
        <f t="shared" si="6"/>
        <v>0</v>
      </c>
      <c r="BL39" s="38" t="str">
        <f t="shared" si="7"/>
        <v/>
      </c>
      <c r="BM39" s="38" t="str">
        <f t="shared" si="8"/>
        <v/>
      </c>
      <c r="BN39" s="38" t="str">
        <f t="shared" si="9"/>
        <v/>
      </c>
      <c r="BO39" s="38" t="str">
        <f t="shared" si="10"/>
        <v/>
      </c>
      <c r="BP39" s="38" t="str">
        <f t="shared" si="11"/>
        <v/>
      </c>
      <c r="BQ39" s="38" t="str">
        <f t="shared" si="12"/>
        <v/>
      </c>
    </row>
    <row r="40" spans="1:69" ht="16.2" thickBot="1" x14ac:dyDescent="0.35">
      <c r="A40" s="71" t="s">
        <v>67</v>
      </c>
      <c r="B40" s="72"/>
      <c r="C40" s="72"/>
      <c r="D40" s="72"/>
      <c r="E40" s="72"/>
      <c r="F40" s="72"/>
      <c r="G40" s="72"/>
      <c r="H40" s="72"/>
      <c r="I40" s="399">
        <f>HLOOKUP(F25,spelerslijsten!B1:J25,25,FALSE)</f>
        <v>6</v>
      </c>
      <c r="J40" s="400"/>
      <c r="K40" s="74" t="s">
        <v>23</v>
      </c>
      <c r="L40" s="72"/>
      <c r="M40" s="72"/>
      <c r="N40" s="129" t="str">
        <f>HLOOKUP(F25,spelerslijsten!B1:J25,23,FALSE)</f>
        <v>Sol Geraedts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30"/>
      <c r="Z40" s="111"/>
      <c r="AA40" s="112"/>
      <c r="AB40" s="113" t="str">
        <f t="shared" si="16"/>
        <v>-</v>
      </c>
      <c r="AC40" s="112"/>
      <c r="AD40" s="114"/>
      <c r="AE40" s="115"/>
      <c r="AF40" s="115"/>
      <c r="AG40" s="116"/>
      <c r="AH40" s="117"/>
      <c r="AI40" s="117"/>
      <c r="AJ40" s="342"/>
      <c r="AK40" s="343"/>
      <c r="AL40" s="346"/>
      <c r="AM40" s="347"/>
      <c r="AN40" s="118"/>
      <c r="AO40" s="101" t="str">
        <f t="shared" si="19"/>
        <v/>
      </c>
      <c r="AP40" s="113" t="str">
        <f t="shared" si="20"/>
        <v>-</v>
      </c>
      <c r="AQ40" s="119"/>
      <c r="AR40" s="103" t="str">
        <f t="shared" si="21"/>
        <v/>
      </c>
      <c r="AY40" s="38" t="str">
        <f t="shared" si="1"/>
        <v/>
      </c>
      <c r="AZ40" s="38" t="str">
        <f t="shared" si="2"/>
        <v>0</v>
      </c>
      <c r="BA40" s="38" t="str">
        <f t="shared" si="3"/>
        <v>0</v>
      </c>
      <c r="BB40" s="38" t="str">
        <f t="shared" si="4"/>
        <v>0</v>
      </c>
      <c r="BC40" s="38">
        <f t="shared" si="5"/>
        <v>0</v>
      </c>
      <c r="BD40" s="38">
        <f t="shared" si="6"/>
        <v>0</v>
      </c>
      <c r="BL40" s="38" t="str">
        <f t="shared" si="7"/>
        <v/>
      </c>
      <c r="BM40" s="38" t="str">
        <f t="shared" si="8"/>
        <v/>
      </c>
      <c r="BN40" s="38" t="str">
        <f t="shared" si="9"/>
        <v/>
      </c>
      <c r="BO40" s="38" t="str">
        <f t="shared" si="10"/>
        <v/>
      </c>
      <c r="BP40" s="38" t="str">
        <f t="shared" si="11"/>
        <v/>
      </c>
      <c r="BQ40" s="38" t="str">
        <f t="shared" si="12"/>
        <v/>
      </c>
    </row>
    <row r="41" spans="1:69" ht="15.6" x14ac:dyDescent="0.3">
      <c r="A41" s="157" t="s">
        <v>68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158"/>
      <c r="Z41" s="111"/>
      <c r="AA41" s="112"/>
      <c r="AB41" s="113" t="str">
        <f t="shared" si="16"/>
        <v>-</v>
      </c>
      <c r="AC41" s="112"/>
      <c r="AD41" s="114"/>
      <c r="AE41" s="115"/>
      <c r="AF41" s="115"/>
      <c r="AG41" s="116"/>
      <c r="AH41" s="117"/>
      <c r="AI41" s="117"/>
      <c r="AJ41" s="342"/>
      <c r="AK41" s="343"/>
      <c r="AL41" s="346"/>
      <c r="AM41" s="347"/>
      <c r="AN41" s="118"/>
      <c r="AO41" s="101" t="str">
        <f t="shared" si="19"/>
        <v/>
      </c>
      <c r="AP41" s="113" t="str">
        <f t="shared" si="20"/>
        <v>-</v>
      </c>
      <c r="AQ41" s="119"/>
      <c r="AR41" s="103" t="str">
        <f t="shared" si="21"/>
        <v/>
      </c>
      <c r="AY41" s="38" t="str">
        <f t="shared" si="1"/>
        <v/>
      </c>
      <c r="AZ41" s="38" t="str">
        <f t="shared" si="2"/>
        <v>0</v>
      </c>
      <c r="BA41" s="38" t="str">
        <f t="shared" si="3"/>
        <v>0</v>
      </c>
      <c r="BB41" s="38" t="str">
        <f t="shared" si="4"/>
        <v>0</v>
      </c>
      <c r="BC41" s="38">
        <f t="shared" si="5"/>
        <v>0</v>
      </c>
      <c r="BD41" s="38">
        <f t="shared" si="6"/>
        <v>0</v>
      </c>
      <c r="BL41" s="38" t="str">
        <f t="shared" si="7"/>
        <v/>
      </c>
      <c r="BM41" s="38" t="str">
        <f t="shared" si="8"/>
        <v/>
      </c>
      <c r="BN41" s="38" t="str">
        <f t="shared" si="9"/>
        <v/>
      </c>
      <c r="BO41" s="38" t="str">
        <f t="shared" si="10"/>
        <v/>
      </c>
      <c r="BP41" s="38" t="str">
        <f t="shared" si="11"/>
        <v/>
      </c>
      <c r="BQ41" s="38" t="str">
        <f t="shared" si="12"/>
        <v/>
      </c>
    </row>
    <row r="42" spans="1:69" ht="15.6" x14ac:dyDescent="0.3">
      <c r="A42" s="15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60"/>
      <c r="Z42" s="111"/>
      <c r="AA42" s="112"/>
      <c r="AB42" s="113" t="str">
        <f t="shared" si="16"/>
        <v>-</v>
      </c>
      <c r="AC42" s="112"/>
      <c r="AD42" s="114"/>
      <c r="AE42" s="115"/>
      <c r="AF42" s="115"/>
      <c r="AG42" s="116"/>
      <c r="AH42" s="117"/>
      <c r="AI42" s="117"/>
      <c r="AJ42" s="342"/>
      <c r="AK42" s="343"/>
      <c r="AL42" s="346"/>
      <c r="AM42" s="347"/>
      <c r="AN42" s="118"/>
      <c r="AO42" s="101" t="str">
        <f t="shared" si="19"/>
        <v/>
      </c>
      <c r="AP42" s="113" t="str">
        <f t="shared" si="20"/>
        <v>-</v>
      </c>
      <c r="AQ42" s="119"/>
      <c r="AR42" s="103" t="str">
        <f t="shared" si="21"/>
        <v/>
      </c>
      <c r="AY42" s="38" t="str">
        <f t="shared" si="1"/>
        <v/>
      </c>
      <c r="AZ42" s="38" t="str">
        <f t="shared" si="2"/>
        <v>0</v>
      </c>
      <c r="BA42" s="38" t="str">
        <f t="shared" si="3"/>
        <v>0</v>
      </c>
      <c r="BB42" s="38" t="str">
        <f t="shared" si="4"/>
        <v>0</v>
      </c>
      <c r="BC42" s="38">
        <f t="shared" si="5"/>
        <v>0</v>
      </c>
      <c r="BD42" s="38">
        <f t="shared" si="6"/>
        <v>0</v>
      </c>
      <c r="BL42" s="38" t="str">
        <f t="shared" si="7"/>
        <v/>
      </c>
      <c r="BM42" s="38" t="str">
        <f t="shared" si="8"/>
        <v/>
      </c>
      <c r="BN42" s="38" t="str">
        <f t="shared" si="9"/>
        <v/>
      </c>
      <c r="BO42" s="38" t="str">
        <f t="shared" si="10"/>
        <v/>
      </c>
      <c r="BP42" s="38" t="str">
        <f t="shared" si="11"/>
        <v/>
      </c>
      <c r="BQ42" s="38" t="str">
        <f t="shared" si="12"/>
        <v/>
      </c>
    </row>
    <row r="43" spans="1:69" ht="15.6" x14ac:dyDescent="0.3">
      <c r="A43" s="16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62"/>
      <c r="Z43" s="111"/>
      <c r="AA43" s="112"/>
      <c r="AB43" s="113" t="str">
        <f t="shared" si="16"/>
        <v>-</v>
      </c>
      <c r="AC43" s="112"/>
      <c r="AD43" s="114"/>
      <c r="AE43" s="115"/>
      <c r="AF43" s="115"/>
      <c r="AG43" s="116"/>
      <c r="AH43" s="117"/>
      <c r="AI43" s="117"/>
      <c r="AJ43" s="342"/>
      <c r="AK43" s="343"/>
      <c r="AL43" s="346"/>
      <c r="AM43" s="347"/>
      <c r="AN43" s="118"/>
      <c r="AO43" s="101" t="str">
        <f t="shared" si="19"/>
        <v/>
      </c>
      <c r="AP43" s="113" t="str">
        <f t="shared" si="20"/>
        <v>-</v>
      </c>
      <c r="AQ43" s="119"/>
      <c r="AR43" s="103" t="str">
        <f t="shared" si="21"/>
        <v/>
      </c>
      <c r="AY43" s="38" t="str">
        <f t="shared" si="1"/>
        <v/>
      </c>
      <c r="AZ43" s="38" t="str">
        <f t="shared" si="2"/>
        <v>0</v>
      </c>
      <c r="BA43" s="38" t="str">
        <f t="shared" si="3"/>
        <v>0</v>
      </c>
      <c r="BB43" s="38" t="str">
        <f t="shared" si="4"/>
        <v>0</v>
      </c>
      <c r="BC43" s="38">
        <f t="shared" si="5"/>
        <v>0</v>
      </c>
      <c r="BD43" s="38">
        <f t="shared" si="6"/>
        <v>0</v>
      </c>
      <c r="BL43" s="38" t="str">
        <f t="shared" si="7"/>
        <v/>
      </c>
      <c r="BM43" s="38" t="str">
        <f t="shared" si="8"/>
        <v/>
      </c>
      <c r="BN43" s="38" t="str">
        <f t="shared" si="9"/>
        <v/>
      </c>
      <c r="BO43" s="38" t="str">
        <f t="shared" si="10"/>
        <v/>
      </c>
      <c r="BP43" s="38" t="str">
        <f t="shared" si="11"/>
        <v/>
      </c>
      <c r="BQ43" s="38" t="str">
        <f t="shared" si="12"/>
        <v/>
      </c>
    </row>
    <row r="44" spans="1:69" ht="15.6" x14ac:dyDescent="0.3">
      <c r="A44" s="16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62"/>
      <c r="Z44" s="111"/>
      <c r="AA44" s="112"/>
      <c r="AB44" s="113" t="str">
        <f t="shared" si="16"/>
        <v>-</v>
      </c>
      <c r="AC44" s="112"/>
      <c r="AD44" s="114"/>
      <c r="AE44" s="115"/>
      <c r="AF44" s="115"/>
      <c r="AG44" s="116"/>
      <c r="AH44" s="117"/>
      <c r="AI44" s="117"/>
      <c r="AJ44" s="342"/>
      <c r="AK44" s="343"/>
      <c r="AL44" s="346"/>
      <c r="AM44" s="347"/>
      <c r="AN44" s="118"/>
      <c r="AO44" s="101" t="str">
        <f t="shared" si="19"/>
        <v/>
      </c>
      <c r="AP44" s="113" t="str">
        <f t="shared" si="20"/>
        <v>-</v>
      </c>
      <c r="AQ44" s="119"/>
      <c r="AR44" s="103" t="str">
        <f t="shared" si="21"/>
        <v/>
      </c>
      <c r="AY44" s="38" t="str">
        <f t="shared" si="1"/>
        <v/>
      </c>
      <c r="AZ44" s="38" t="str">
        <f t="shared" si="2"/>
        <v>0</v>
      </c>
      <c r="BA44" s="38" t="str">
        <f t="shared" si="3"/>
        <v>0</v>
      </c>
      <c r="BB44" s="38" t="str">
        <f t="shared" si="4"/>
        <v>0</v>
      </c>
      <c r="BC44" s="38">
        <f t="shared" si="5"/>
        <v>0</v>
      </c>
      <c r="BD44" s="38">
        <f t="shared" si="6"/>
        <v>0</v>
      </c>
      <c r="BL44" s="38" t="str">
        <f t="shared" si="7"/>
        <v/>
      </c>
      <c r="BM44" s="38" t="str">
        <f t="shared" si="8"/>
        <v/>
      </c>
      <c r="BN44" s="38" t="str">
        <f t="shared" si="9"/>
        <v/>
      </c>
      <c r="BO44" s="38" t="str">
        <f t="shared" si="10"/>
        <v/>
      </c>
      <c r="BP44" s="38" t="str">
        <f t="shared" si="11"/>
        <v/>
      </c>
      <c r="BQ44" s="38" t="str">
        <f t="shared" si="12"/>
        <v/>
      </c>
    </row>
    <row r="45" spans="1:69" ht="15.6" x14ac:dyDescent="0.3">
      <c r="A45" s="16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62"/>
      <c r="Z45" s="111"/>
      <c r="AA45" s="112"/>
      <c r="AB45" s="113" t="str">
        <f>+AB43</f>
        <v>-</v>
      </c>
      <c r="AC45" s="112"/>
      <c r="AD45" s="114"/>
      <c r="AE45" s="115"/>
      <c r="AF45" s="115"/>
      <c r="AG45" s="116"/>
      <c r="AH45" s="117"/>
      <c r="AI45" s="117"/>
      <c r="AJ45" s="342"/>
      <c r="AK45" s="343"/>
      <c r="AL45" s="346"/>
      <c r="AM45" s="347"/>
      <c r="AN45" s="118"/>
      <c r="AO45" s="101" t="str">
        <f t="shared" si="19"/>
        <v/>
      </c>
      <c r="AP45" s="113" t="str">
        <f t="shared" si="20"/>
        <v>-</v>
      </c>
      <c r="AQ45" s="119"/>
      <c r="AR45" s="103" t="str">
        <f t="shared" si="21"/>
        <v/>
      </c>
      <c r="AY45" s="38" t="str">
        <f t="shared" si="1"/>
        <v/>
      </c>
      <c r="AZ45" s="38" t="str">
        <f t="shared" si="2"/>
        <v>0</v>
      </c>
      <c r="BA45" s="38" t="str">
        <f t="shared" si="3"/>
        <v>0</v>
      </c>
      <c r="BB45" s="38" t="str">
        <f t="shared" si="4"/>
        <v>0</v>
      </c>
      <c r="BC45" s="38">
        <f t="shared" si="5"/>
        <v>0</v>
      </c>
      <c r="BD45" s="38">
        <f t="shared" si="6"/>
        <v>0</v>
      </c>
      <c r="BL45" s="38" t="str">
        <f t="shared" si="7"/>
        <v/>
      </c>
      <c r="BM45" s="38" t="str">
        <f t="shared" si="8"/>
        <v/>
      </c>
      <c r="BN45" s="38" t="str">
        <f t="shared" si="9"/>
        <v/>
      </c>
      <c r="BO45" s="38" t="str">
        <f t="shared" si="10"/>
        <v/>
      </c>
      <c r="BP45" s="38" t="str">
        <f t="shared" si="11"/>
        <v/>
      </c>
      <c r="BQ45" s="38" t="str">
        <f t="shared" si="12"/>
        <v/>
      </c>
    </row>
    <row r="46" spans="1:69" ht="16.2" thickBot="1" x14ac:dyDescent="0.35">
      <c r="A46" s="163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64"/>
      <c r="Z46" s="165"/>
      <c r="AA46" s="166"/>
      <c r="AB46" s="167" t="str">
        <f>+AB45</f>
        <v>-</v>
      </c>
      <c r="AC46" s="166"/>
      <c r="AD46" s="168"/>
      <c r="AE46" s="169"/>
      <c r="AF46" s="169"/>
      <c r="AG46" s="170"/>
      <c r="AH46" s="171"/>
      <c r="AI46" s="171"/>
      <c r="AJ46" s="344"/>
      <c r="AK46" s="345"/>
      <c r="AL46" s="352"/>
      <c r="AM46" s="353"/>
      <c r="AN46" s="172"/>
      <c r="AO46" s="101" t="str">
        <f t="shared" si="19"/>
        <v/>
      </c>
      <c r="AP46" s="113" t="str">
        <f t="shared" si="20"/>
        <v>-</v>
      </c>
      <c r="AQ46" s="119"/>
      <c r="AR46" s="103" t="str">
        <f t="shared" si="21"/>
        <v/>
      </c>
      <c r="AY46" s="38" t="str">
        <f t="shared" si="1"/>
        <v/>
      </c>
      <c r="AZ46" s="38" t="str">
        <f t="shared" si="2"/>
        <v>0</v>
      </c>
      <c r="BA46" s="38" t="str">
        <f t="shared" si="3"/>
        <v>0</v>
      </c>
      <c r="BB46" s="38" t="str">
        <f t="shared" si="4"/>
        <v>0</v>
      </c>
      <c r="BC46" s="38">
        <f t="shared" si="5"/>
        <v>0</v>
      </c>
      <c r="BD46" s="38">
        <f t="shared" si="6"/>
        <v>0</v>
      </c>
      <c r="BL46" s="38" t="str">
        <f t="shared" si="7"/>
        <v/>
      </c>
      <c r="BM46" s="38" t="str">
        <f t="shared" si="8"/>
        <v/>
      </c>
      <c r="BN46" s="38" t="str">
        <f t="shared" si="9"/>
        <v/>
      </c>
      <c r="BO46" s="38" t="str">
        <f t="shared" si="10"/>
        <v/>
      </c>
      <c r="BP46" s="38" t="str">
        <f t="shared" si="11"/>
        <v/>
      </c>
      <c r="BQ46" s="38" t="str">
        <f t="shared" si="12"/>
        <v/>
      </c>
    </row>
    <row r="47" spans="1:69" ht="18.600000000000001" thickBot="1" x14ac:dyDescent="0.35">
      <c r="A47" s="173" t="s">
        <v>69</v>
      </c>
      <c r="B47" s="174"/>
      <c r="C47" s="174"/>
      <c r="D47" s="174"/>
      <c r="E47" s="174"/>
      <c r="F47" s="174"/>
      <c r="G47" s="174">
        <f>IF(AO52&gt;AR52,AO52,IF(AO52=AR52,AO52,AR52))</f>
        <v>8</v>
      </c>
      <c r="H47" s="175" t="s">
        <v>16</v>
      </c>
      <c r="I47" s="174">
        <f>IF(AO52&gt;AR52,AR52,IF(AO52=AR52,AR52,AO52))</f>
        <v>2</v>
      </c>
      <c r="J47" s="174"/>
      <c r="K47" s="174" t="s">
        <v>70</v>
      </c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6" t="str">
        <f>BE52</f>
        <v>WIT</v>
      </c>
      <c r="W47" s="174"/>
      <c r="X47" s="174"/>
      <c r="Y47" s="174"/>
      <c r="Z47" s="174"/>
      <c r="AA47" s="174"/>
      <c r="AB47" s="174"/>
      <c r="AC47" s="174"/>
      <c r="AD47" s="177"/>
      <c r="AE47" s="178" t="s">
        <v>71</v>
      </c>
      <c r="AF47" s="179"/>
      <c r="AG47" s="179"/>
      <c r="AH47" s="179"/>
      <c r="AI47" s="179"/>
      <c r="AJ47" s="174"/>
      <c r="AK47" s="174"/>
      <c r="AL47" s="403" t="s">
        <v>177</v>
      </c>
      <c r="AM47" s="404"/>
      <c r="AN47" s="404"/>
      <c r="AO47" s="404"/>
      <c r="AP47" s="404"/>
      <c r="AQ47" s="404"/>
      <c r="AR47" s="405"/>
    </row>
    <row r="48" spans="1:69" x14ac:dyDescent="0.3">
      <c r="A48" s="180" t="s">
        <v>72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2"/>
      <c r="P48" s="183" t="s">
        <v>72</v>
      </c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2"/>
      <c r="AC48" s="181"/>
      <c r="AD48" s="184"/>
      <c r="AE48" s="185" t="s">
        <v>72</v>
      </c>
      <c r="AF48" s="186"/>
      <c r="AG48" s="186"/>
      <c r="AH48" s="186"/>
      <c r="AI48" s="186"/>
      <c r="AJ48" s="181"/>
      <c r="AK48" s="181"/>
      <c r="AL48" s="181"/>
      <c r="AM48" s="181"/>
      <c r="AN48" s="181"/>
      <c r="AO48" s="186"/>
      <c r="AP48" s="181"/>
      <c r="AQ48" s="181"/>
      <c r="AR48" s="187"/>
    </row>
    <row r="49" spans="1:57" x14ac:dyDescent="0.3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/>
      <c r="P49" s="191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90"/>
      <c r="AC49" s="189"/>
      <c r="AD49" s="192"/>
      <c r="AE49" s="193"/>
      <c r="AF49" s="193"/>
      <c r="AG49" s="193"/>
      <c r="AH49" s="193"/>
      <c r="AI49" s="193"/>
      <c r="AJ49" s="189"/>
      <c r="AK49" s="189"/>
      <c r="AL49" s="189"/>
      <c r="AM49" s="189"/>
      <c r="AN49" s="189"/>
      <c r="AO49" s="193"/>
      <c r="AP49" s="189"/>
      <c r="AQ49" s="189"/>
      <c r="AR49" s="194"/>
    </row>
    <row r="50" spans="1:57" ht="14.4" thickBot="1" x14ac:dyDescent="0.3">
      <c r="A50" s="195" t="s">
        <v>73</v>
      </c>
      <c r="B50" s="196"/>
      <c r="C50" s="196"/>
      <c r="D50" s="196"/>
      <c r="E50" s="196"/>
      <c r="F50" s="196"/>
      <c r="G50" s="196"/>
      <c r="H50" s="197" t="s">
        <v>74</v>
      </c>
      <c r="I50" s="196"/>
      <c r="J50" s="196"/>
      <c r="K50" s="196"/>
      <c r="L50" s="196"/>
      <c r="M50" s="196"/>
      <c r="N50" s="196"/>
      <c r="O50" s="198"/>
      <c r="P50" s="199" t="s">
        <v>73</v>
      </c>
      <c r="Q50" s="196"/>
      <c r="R50" s="196"/>
      <c r="S50" s="196"/>
      <c r="T50" s="196"/>
      <c r="U50" s="196"/>
      <c r="V50" s="196"/>
      <c r="W50" s="197" t="s">
        <v>75</v>
      </c>
      <c r="X50" s="196"/>
      <c r="Y50" s="196"/>
      <c r="Z50" s="196"/>
      <c r="AA50" s="196"/>
      <c r="AB50" s="198"/>
      <c r="AC50" s="196"/>
      <c r="AD50" s="200"/>
      <c r="AE50" s="201" t="s">
        <v>25</v>
      </c>
      <c r="AF50" s="202"/>
      <c r="AG50" s="202"/>
      <c r="AH50" s="202"/>
      <c r="AI50" s="202"/>
      <c r="AJ50" s="203"/>
      <c r="AK50" s="203"/>
      <c r="AL50" s="203"/>
      <c r="AM50" s="203"/>
      <c r="AN50" s="203"/>
      <c r="AO50" s="202"/>
      <c r="AP50" s="203"/>
      <c r="AQ50" s="203"/>
      <c r="AR50" s="204"/>
    </row>
    <row r="52" spans="1:57" hidden="1" x14ac:dyDescent="0.3">
      <c r="AO52" s="40">
        <f>IF(AO13="","",MAX(AO13:AO46))</f>
        <v>8</v>
      </c>
      <c r="AR52" s="40">
        <f>IF(AR13="","",MAX(AR13:AR46))</f>
        <v>2</v>
      </c>
      <c r="AS52" s="38" t="str">
        <f>IF(AO13="","0","1")</f>
        <v>1</v>
      </c>
      <c r="BE52" s="38" t="str">
        <f>IF(AS52="0","WIT/BLAUW",IF(AO52&gt;AR52,"WIT",IF(AO52=AR52,"GELIJK","BLAUW")))</f>
        <v>WIT</v>
      </c>
    </row>
  </sheetData>
  <sheetProtection sheet="1" objects="1" scenarios="1"/>
  <mergeCells count="107">
    <mergeCell ref="AL47:AR47"/>
    <mergeCell ref="BF4:BI6"/>
    <mergeCell ref="D3:N3"/>
    <mergeCell ref="B36:C36"/>
    <mergeCell ref="B37:C37"/>
    <mergeCell ref="B38:C38"/>
    <mergeCell ref="B39:C39"/>
    <mergeCell ref="F25:Y28"/>
    <mergeCell ref="A26:D28"/>
    <mergeCell ref="B30:C30"/>
    <mergeCell ref="B15:C15"/>
    <mergeCell ref="B16:C16"/>
    <mergeCell ref="B17:C17"/>
    <mergeCell ref="B18:C18"/>
    <mergeCell ref="B19:C19"/>
    <mergeCell ref="D4:E4"/>
    <mergeCell ref="G4:I4"/>
    <mergeCell ref="K4:M4"/>
    <mergeCell ref="I40:J40"/>
    <mergeCell ref="B31:C31"/>
    <mergeCell ref="B32:C32"/>
    <mergeCell ref="B33:C33"/>
    <mergeCell ref="B34:C34"/>
    <mergeCell ref="B35:C35"/>
    <mergeCell ref="A11:D12"/>
    <mergeCell ref="B14:C14"/>
    <mergeCell ref="B20:C20"/>
    <mergeCell ref="B21:C21"/>
    <mergeCell ref="B22:C22"/>
    <mergeCell ref="B23:C23"/>
    <mergeCell ref="I24:J24"/>
    <mergeCell ref="AL13:AM13"/>
    <mergeCell ref="AL14:AM14"/>
    <mergeCell ref="AL15:AM15"/>
    <mergeCell ref="AL16:AM16"/>
    <mergeCell ref="AL17:AM17"/>
    <mergeCell ref="AH6:AR6"/>
    <mergeCell ref="F10:Y12"/>
    <mergeCell ref="Z10:AD12"/>
    <mergeCell ref="AJ10:AK12"/>
    <mergeCell ref="AL10:AM12"/>
    <mergeCell ref="AN10:AR11"/>
    <mergeCell ref="AN12:AO12"/>
    <mergeCell ref="AQ12:AR12"/>
    <mergeCell ref="AL28:AM28"/>
    <mergeCell ref="AJ13:AK13"/>
    <mergeCell ref="AJ14:AK14"/>
    <mergeCell ref="AJ15:AK15"/>
    <mergeCell ref="AJ16:AK16"/>
    <mergeCell ref="AJ17:AK17"/>
    <mergeCell ref="AJ23:AK23"/>
    <mergeCell ref="AJ24:AK24"/>
    <mergeCell ref="AJ25:AK25"/>
    <mergeCell ref="AJ26:AK26"/>
    <mergeCell ref="AJ27:AK27"/>
    <mergeCell ref="AJ18:AK18"/>
    <mergeCell ref="AJ19:AK19"/>
    <mergeCell ref="AJ20:AK20"/>
    <mergeCell ref="AJ21:AK21"/>
    <mergeCell ref="AJ22:AK22"/>
    <mergeCell ref="AL38:AM38"/>
    <mergeCell ref="AL39:AM39"/>
    <mergeCell ref="AL40:AM40"/>
    <mergeCell ref="AL46:AM46"/>
    <mergeCell ref="AL41:AM41"/>
    <mergeCell ref="AL42:AM42"/>
    <mergeCell ref="AL43:AM43"/>
    <mergeCell ref="AL44:AM44"/>
    <mergeCell ref="AL45:AM45"/>
    <mergeCell ref="AL33:AM33"/>
    <mergeCell ref="AL34:AM34"/>
    <mergeCell ref="AL35:AM35"/>
    <mergeCell ref="AL36:AM36"/>
    <mergeCell ref="AL37:AM37"/>
    <mergeCell ref="AL18:AM18"/>
    <mergeCell ref="AL19:AM19"/>
    <mergeCell ref="AL20:AM20"/>
    <mergeCell ref="AL31:AM31"/>
    <mergeCell ref="AL32:AM32"/>
    <mergeCell ref="AL29:AM29"/>
    <mergeCell ref="AL30:AM30"/>
    <mergeCell ref="AL21:AM21"/>
    <mergeCell ref="AL22:AM22"/>
    <mergeCell ref="AL23:AM23"/>
    <mergeCell ref="AL24:AM24"/>
    <mergeCell ref="AL25:AM25"/>
    <mergeCell ref="AL26:AM26"/>
    <mergeCell ref="AL27:AM27"/>
    <mergeCell ref="AJ33:AK33"/>
    <mergeCell ref="AJ34:AK34"/>
    <mergeCell ref="AJ35:AK35"/>
    <mergeCell ref="AJ36:AK36"/>
    <mergeCell ref="AJ37:AK37"/>
    <mergeCell ref="AJ28:AK28"/>
    <mergeCell ref="AJ29:AK29"/>
    <mergeCell ref="AJ30:AK30"/>
    <mergeCell ref="AJ31:AK31"/>
    <mergeCell ref="AJ32:AK32"/>
    <mergeCell ref="AJ43:AK43"/>
    <mergeCell ref="AJ44:AK44"/>
    <mergeCell ref="AJ45:AK45"/>
    <mergeCell ref="AJ46:AK46"/>
    <mergeCell ref="AJ38:AK38"/>
    <mergeCell ref="AJ39:AK39"/>
    <mergeCell ref="AJ40:AK40"/>
    <mergeCell ref="AJ41:AK41"/>
    <mergeCell ref="AJ42:AK42"/>
  </mergeCells>
  <dataValidations count="1">
    <dataValidation type="list" allowBlank="1" showInputMessage="1" showErrorMessage="1" sqref="AL47:AR47" xr:uid="{8B1EF640-5F40-4ED9-832C-E17278B4D3B8}">
      <formula1>"JA/NEE,JA,NEE"</formula1>
    </dataValidation>
  </dataValidations>
  <hyperlinks>
    <hyperlink ref="BF4:BI6" location="Wedstrijden!A1" display="Wedstrijdschema" xr:uid="{75F71AE9-4B5B-4E5D-AA49-C7125C51F06B}"/>
  </hyperlinks>
  <pageMargins left="0.7" right="0.7" top="0.75" bottom="0.75" header="0.3" footer="0.3"/>
  <pageSetup paperSize="9" orientation="portrait" horizontalDpi="4294967293" verticalDpi="0" r:id="rId1"/>
  <ignoredErrors>
    <ignoredError sqref="AO14:AR46 AP13:AQ13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IV52"/>
  <sheetViews>
    <sheetView workbookViewId="0">
      <selection activeCell="BF4" sqref="BF4:BI6"/>
    </sheetView>
  </sheetViews>
  <sheetFormatPr defaultRowHeight="13.8" x14ac:dyDescent="0.3"/>
  <cols>
    <col min="1" max="6" width="2.33203125" style="38" customWidth="1"/>
    <col min="7" max="7" width="3.33203125" style="38" customWidth="1"/>
    <col min="8" max="8" width="2.33203125" style="38" customWidth="1"/>
    <col min="9" max="9" width="3.33203125" style="38" customWidth="1"/>
    <col min="10" max="25" width="2.33203125" style="38" customWidth="1"/>
    <col min="26" max="28" width="2.109375" style="38" customWidth="1"/>
    <col min="29" max="29" width="3" style="38" customWidth="1"/>
    <col min="30" max="30" width="2.109375" style="39" customWidth="1"/>
    <col min="31" max="35" width="2.33203125" style="40" customWidth="1"/>
    <col min="36" max="39" width="2.33203125" style="38" customWidth="1"/>
    <col min="40" max="40" width="2.109375" style="38" customWidth="1"/>
    <col min="41" max="41" width="3.33203125" style="40" customWidth="1"/>
    <col min="42" max="43" width="2.109375" style="38" customWidth="1"/>
    <col min="44" max="44" width="3.33203125" style="40" customWidth="1"/>
    <col min="45" max="45" width="9.109375" style="38"/>
    <col min="46" max="56" width="9.109375" style="38" hidden="1" customWidth="1"/>
    <col min="57" max="62" width="9.109375" style="38"/>
    <col min="63" max="69" width="0" style="38" hidden="1" customWidth="1"/>
    <col min="70" max="256" width="9.109375" style="38"/>
    <col min="257" max="281" width="2.33203125" style="38" customWidth="1"/>
    <col min="282" max="286" width="2.109375" style="38" customWidth="1"/>
    <col min="287" max="295" width="2.33203125" style="38" customWidth="1"/>
    <col min="296" max="300" width="2.109375" style="38" customWidth="1"/>
    <col min="301" max="512" width="9.109375" style="38"/>
    <col min="513" max="537" width="2.33203125" style="38" customWidth="1"/>
    <col min="538" max="542" width="2.109375" style="38" customWidth="1"/>
    <col min="543" max="551" width="2.33203125" style="38" customWidth="1"/>
    <col min="552" max="556" width="2.109375" style="38" customWidth="1"/>
    <col min="557" max="768" width="9.109375" style="38"/>
    <col min="769" max="793" width="2.33203125" style="38" customWidth="1"/>
    <col min="794" max="798" width="2.109375" style="38" customWidth="1"/>
    <col min="799" max="807" width="2.33203125" style="38" customWidth="1"/>
    <col min="808" max="812" width="2.109375" style="38" customWidth="1"/>
    <col min="813" max="1024" width="9.109375" style="38"/>
    <col min="1025" max="1049" width="2.33203125" style="38" customWidth="1"/>
    <col min="1050" max="1054" width="2.109375" style="38" customWidth="1"/>
    <col min="1055" max="1063" width="2.33203125" style="38" customWidth="1"/>
    <col min="1064" max="1068" width="2.109375" style="38" customWidth="1"/>
    <col min="1069" max="1280" width="9.109375" style="38"/>
    <col min="1281" max="1305" width="2.33203125" style="38" customWidth="1"/>
    <col min="1306" max="1310" width="2.109375" style="38" customWidth="1"/>
    <col min="1311" max="1319" width="2.33203125" style="38" customWidth="1"/>
    <col min="1320" max="1324" width="2.109375" style="38" customWidth="1"/>
    <col min="1325" max="1536" width="9.109375" style="38"/>
    <col min="1537" max="1561" width="2.33203125" style="38" customWidth="1"/>
    <col min="1562" max="1566" width="2.109375" style="38" customWidth="1"/>
    <col min="1567" max="1575" width="2.33203125" style="38" customWidth="1"/>
    <col min="1576" max="1580" width="2.109375" style="38" customWidth="1"/>
    <col min="1581" max="1792" width="9.109375" style="38"/>
    <col min="1793" max="1817" width="2.33203125" style="38" customWidth="1"/>
    <col min="1818" max="1822" width="2.109375" style="38" customWidth="1"/>
    <col min="1823" max="1831" width="2.33203125" style="38" customWidth="1"/>
    <col min="1832" max="1836" width="2.109375" style="38" customWidth="1"/>
    <col min="1837" max="2048" width="9.109375" style="38"/>
    <col min="2049" max="2073" width="2.33203125" style="38" customWidth="1"/>
    <col min="2074" max="2078" width="2.109375" style="38" customWidth="1"/>
    <col min="2079" max="2087" width="2.33203125" style="38" customWidth="1"/>
    <col min="2088" max="2092" width="2.109375" style="38" customWidth="1"/>
    <col min="2093" max="2304" width="9.109375" style="38"/>
    <col min="2305" max="2329" width="2.33203125" style="38" customWidth="1"/>
    <col min="2330" max="2334" width="2.109375" style="38" customWidth="1"/>
    <col min="2335" max="2343" width="2.33203125" style="38" customWidth="1"/>
    <col min="2344" max="2348" width="2.109375" style="38" customWidth="1"/>
    <col min="2349" max="2560" width="9.109375" style="38"/>
    <col min="2561" max="2585" width="2.33203125" style="38" customWidth="1"/>
    <col min="2586" max="2590" width="2.109375" style="38" customWidth="1"/>
    <col min="2591" max="2599" width="2.33203125" style="38" customWidth="1"/>
    <col min="2600" max="2604" width="2.109375" style="38" customWidth="1"/>
    <col min="2605" max="2816" width="9.109375" style="38"/>
    <col min="2817" max="2841" width="2.33203125" style="38" customWidth="1"/>
    <col min="2842" max="2846" width="2.109375" style="38" customWidth="1"/>
    <col min="2847" max="2855" width="2.33203125" style="38" customWidth="1"/>
    <col min="2856" max="2860" width="2.109375" style="38" customWidth="1"/>
    <col min="2861" max="3072" width="9.109375" style="38"/>
    <col min="3073" max="3097" width="2.33203125" style="38" customWidth="1"/>
    <col min="3098" max="3102" width="2.109375" style="38" customWidth="1"/>
    <col min="3103" max="3111" width="2.33203125" style="38" customWidth="1"/>
    <col min="3112" max="3116" width="2.109375" style="38" customWidth="1"/>
    <col min="3117" max="3328" width="9.109375" style="38"/>
    <col min="3329" max="3353" width="2.33203125" style="38" customWidth="1"/>
    <col min="3354" max="3358" width="2.109375" style="38" customWidth="1"/>
    <col min="3359" max="3367" width="2.33203125" style="38" customWidth="1"/>
    <col min="3368" max="3372" width="2.109375" style="38" customWidth="1"/>
    <col min="3373" max="3584" width="9.109375" style="38"/>
    <col min="3585" max="3609" width="2.33203125" style="38" customWidth="1"/>
    <col min="3610" max="3614" width="2.109375" style="38" customWidth="1"/>
    <col min="3615" max="3623" width="2.33203125" style="38" customWidth="1"/>
    <col min="3624" max="3628" width="2.109375" style="38" customWidth="1"/>
    <col min="3629" max="3840" width="9.109375" style="38"/>
    <col min="3841" max="3865" width="2.33203125" style="38" customWidth="1"/>
    <col min="3866" max="3870" width="2.109375" style="38" customWidth="1"/>
    <col min="3871" max="3879" width="2.33203125" style="38" customWidth="1"/>
    <col min="3880" max="3884" width="2.109375" style="38" customWidth="1"/>
    <col min="3885" max="4096" width="9.109375" style="38"/>
    <col min="4097" max="4121" width="2.33203125" style="38" customWidth="1"/>
    <col min="4122" max="4126" width="2.109375" style="38" customWidth="1"/>
    <col min="4127" max="4135" width="2.33203125" style="38" customWidth="1"/>
    <col min="4136" max="4140" width="2.109375" style="38" customWidth="1"/>
    <col min="4141" max="4352" width="9.109375" style="38"/>
    <col min="4353" max="4377" width="2.33203125" style="38" customWidth="1"/>
    <col min="4378" max="4382" width="2.109375" style="38" customWidth="1"/>
    <col min="4383" max="4391" width="2.33203125" style="38" customWidth="1"/>
    <col min="4392" max="4396" width="2.109375" style="38" customWidth="1"/>
    <col min="4397" max="4608" width="9.109375" style="38"/>
    <col min="4609" max="4633" width="2.33203125" style="38" customWidth="1"/>
    <col min="4634" max="4638" width="2.109375" style="38" customWidth="1"/>
    <col min="4639" max="4647" width="2.33203125" style="38" customWidth="1"/>
    <col min="4648" max="4652" width="2.109375" style="38" customWidth="1"/>
    <col min="4653" max="4864" width="9.109375" style="38"/>
    <col min="4865" max="4889" width="2.33203125" style="38" customWidth="1"/>
    <col min="4890" max="4894" width="2.109375" style="38" customWidth="1"/>
    <col min="4895" max="4903" width="2.33203125" style="38" customWidth="1"/>
    <col min="4904" max="4908" width="2.109375" style="38" customWidth="1"/>
    <col min="4909" max="5120" width="9.109375" style="38"/>
    <col min="5121" max="5145" width="2.33203125" style="38" customWidth="1"/>
    <col min="5146" max="5150" width="2.109375" style="38" customWidth="1"/>
    <col min="5151" max="5159" width="2.33203125" style="38" customWidth="1"/>
    <col min="5160" max="5164" width="2.109375" style="38" customWidth="1"/>
    <col min="5165" max="5376" width="9.109375" style="38"/>
    <col min="5377" max="5401" width="2.33203125" style="38" customWidth="1"/>
    <col min="5402" max="5406" width="2.109375" style="38" customWidth="1"/>
    <col min="5407" max="5415" width="2.33203125" style="38" customWidth="1"/>
    <col min="5416" max="5420" width="2.109375" style="38" customWidth="1"/>
    <col min="5421" max="5632" width="9.109375" style="38"/>
    <col min="5633" max="5657" width="2.33203125" style="38" customWidth="1"/>
    <col min="5658" max="5662" width="2.109375" style="38" customWidth="1"/>
    <col min="5663" max="5671" width="2.33203125" style="38" customWidth="1"/>
    <col min="5672" max="5676" width="2.109375" style="38" customWidth="1"/>
    <col min="5677" max="5888" width="9.109375" style="38"/>
    <col min="5889" max="5913" width="2.33203125" style="38" customWidth="1"/>
    <col min="5914" max="5918" width="2.109375" style="38" customWidth="1"/>
    <col min="5919" max="5927" width="2.33203125" style="38" customWidth="1"/>
    <col min="5928" max="5932" width="2.109375" style="38" customWidth="1"/>
    <col min="5933" max="6144" width="9.109375" style="38"/>
    <col min="6145" max="6169" width="2.33203125" style="38" customWidth="1"/>
    <col min="6170" max="6174" width="2.109375" style="38" customWidth="1"/>
    <col min="6175" max="6183" width="2.33203125" style="38" customWidth="1"/>
    <col min="6184" max="6188" width="2.109375" style="38" customWidth="1"/>
    <col min="6189" max="6400" width="9.109375" style="38"/>
    <col min="6401" max="6425" width="2.33203125" style="38" customWidth="1"/>
    <col min="6426" max="6430" width="2.109375" style="38" customWidth="1"/>
    <col min="6431" max="6439" width="2.33203125" style="38" customWidth="1"/>
    <col min="6440" max="6444" width="2.109375" style="38" customWidth="1"/>
    <col min="6445" max="6656" width="9.109375" style="38"/>
    <col min="6657" max="6681" width="2.33203125" style="38" customWidth="1"/>
    <col min="6682" max="6686" width="2.109375" style="38" customWidth="1"/>
    <col min="6687" max="6695" width="2.33203125" style="38" customWidth="1"/>
    <col min="6696" max="6700" width="2.109375" style="38" customWidth="1"/>
    <col min="6701" max="6912" width="9.109375" style="38"/>
    <col min="6913" max="6937" width="2.33203125" style="38" customWidth="1"/>
    <col min="6938" max="6942" width="2.109375" style="38" customWidth="1"/>
    <col min="6943" max="6951" width="2.33203125" style="38" customWidth="1"/>
    <col min="6952" max="6956" width="2.109375" style="38" customWidth="1"/>
    <col min="6957" max="7168" width="9.109375" style="38"/>
    <col min="7169" max="7193" width="2.33203125" style="38" customWidth="1"/>
    <col min="7194" max="7198" width="2.109375" style="38" customWidth="1"/>
    <col min="7199" max="7207" width="2.33203125" style="38" customWidth="1"/>
    <col min="7208" max="7212" width="2.109375" style="38" customWidth="1"/>
    <col min="7213" max="7424" width="9.109375" style="38"/>
    <col min="7425" max="7449" width="2.33203125" style="38" customWidth="1"/>
    <col min="7450" max="7454" width="2.109375" style="38" customWidth="1"/>
    <col min="7455" max="7463" width="2.33203125" style="38" customWidth="1"/>
    <col min="7464" max="7468" width="2.109375" style="38" customWidth="1"/>
    <col min="7469" max="7680" width="9.109375" style="38"/>
    <col min="7681" max="7705" width="2.33203125" style="38" customWidth="1"/>
    <col min="7706" max="7710" width="2.109375" style="38" customWidth="1"/>
    <col min="7711" max="7719" width="2.33203125" style="38" customWidth="1"/>
    <col min="7720" max="7724" width="2.109375" style="38" customWidth="1"/>
    <col min="7725" max="7936" width="9.109375" style="38"/>
    <col min="7937" max="7961" width="2.33203125" style="38" customWidth="1"/>
    <col min="7962" max="7966" width="2.109375" style="38" customWidth="1"/>
    <col min="7967" max="7975" width="2.33203125" style="38" customWidth="1"/>
    <col min="7976" max="7980" width="2.109375" style="38" customWidth="1"/>
    <col min="7981" max="8192" width="9.109375" style="38"/>
    <col min="8193" max="8217" width="2.33203125" style="38" customWidth="1"/>
    <col min="8218" max="8222" width="2.109375" style="38" customWidth="1"/>
    <col min="8223" max="8231" width="2.33203125" style="38" customWidth="1"/>
    <col min="8232" max="8236" width="2.109375" style="38" customWidth="1"/>
    <col min="8237" max="8448" width="9.109375" style="38"/>
    <col min="8449" max="8473" width="2.33203125" style="38" customWidth="1"/>
    <col min="8474" max="8478" width="2.109375" style="38" customWidth="1"/>
    <col min="8479" max="8487" width="2.33203125" style="38" customWidth="1"/>
    <col min="8488" max="8492" width="2.109375" style="38" customWidth="1"/>
    <col min="8493" max="8704" width="9.109375" style="38"/>
    <col min="8705" max="8729" width="2.33203125" style="38" customWidth="1"/>
    <col min="8730" max="8734" width="2.109375" style="38" customWidth="1"/>
    <col min="8735" max="8743" width="2.33203125" style="38" customWidth="1"/>
    <col min="8744" max="8748" width="2.109375" style="38" customWidth="1"/>
    <col min="8749" max="8960" width="9.109375" style="38"/>
    <col min="8961" max="8985" width="2.33203125" style="38" customWidth="1"/>
    <col min="8986" max="8990" width="2.109375" style="38" customWidth="1"/>
    <col min="8991" max="8999" width="2.33203125" style="38" customWidth="1"/>
    <col min="9000" max="9004" width="2.109375" style="38" customWidth="1"/>
    <col min="9005" max="9216" width="9.109375" style="38"/>
    <col min="9217" max="9241" width="2.33203125" style="38" customWidth="1"/>
    <col min="9242" max="9246" width="2.109375" style="38" customWidth="1"/>
    <col min="9247" max="9255" width="2.33203125" style="38" customWidth="1"/>
    <col min="9256" max="9260" width="2.109375" style="38" customWidth="1"/>
    <col min="9261" max="9472" width="9.109375" style="38"/>
    <col min="9473" max="9497" width="2.33203125" style="38" customWidth="1"/>
    <col min="9498" max="9502" width="2.109375" style="38" customWidth="1"/>
    <col min="9503" max="9511" width="2.33203125" style="38" customWidth="1"/>
    <col min="9512" max="9516" width="2.109375" style="38" customWidth="1"/>
    <col min="9517" max="9728" width="9.109375" style="38"/>
    <col min="9729" max="9753" width="2.33203125" style="38" customWidth="1"/>
    <col min="9754" max="9758" width="2.109375" style="38" customWidth="1"/>
    <col min="9759" max="9767" width="2.33203125" style="38" customWidth="1"/>
    <col min="9768" max="9772" width="2.109375" style="38" customWidth="1"/>
    <col min="9773" max="9984" width="9.109375" style="38"/>
    <col min="9985" max="10009" width="2.33203125" style="38" customWidth="1"/>
    <col min="10010" max="10014" width="2.109375" style="38" customWidth="1"/>
    <col min="10015" max="10023" width="2.33203125" style="38" customWidth="1"/>
    <col min="10024" max="10028" width="2.109375" style="38" customWidth="1"/>
    <col min="10029" max="10240" width="9.109375" style="38"/>
    <col min="10241" max="10265" width="2.33203125" style="38" customWidth="1"/>
    <col min="10266" max="10270" width="2.109375" style="38" customWidth="1"/>
    <col min="10271" max="10279" width="2.33203125" style="38" customWidth="1"/>
    <col min="10280" max="10284" width="2.109375" style="38" customWidth="1"/>
    <col min="10285" max="10496" width="9.109375" style="38"/>
    <col min="10497" max="10521" width="2.33203125" style="38" customWidth="1"/>
    <col min="10522" max="10526" width="2.109375" style="38" customWidth="1"/>
    <col min="10527" max="10535" width="2.33203125" style="38" customWidth="1"/>
    <col min="10536" max="10540" width="2.109375" style="38" customWidth="1"/>
    <col min="10541" max="10752" width="9.109375" style="38"/>
    <col min="10753" max="10777" width="2.33203125" style="38" customWidth="1"/>
    <col min="10778" max="10782" width="2.109375" style="38" customWidth="1"/>
    <col min="10783" max="10791" width="2.33203125" style="38" customWidth="1"/>
    <col min="10792" max="10796" width="2.109375" style="38" customWidth="1"/>
    <col min="10797" max="11008" width="9.109375" style="38"/>
    <col min="11009" max="11033" width="2.33203125" style="38" customWidth="1"/>
    <col min="11034" max="11038" width="2.109375" style="38" customWidth="1"/>
    <col min="11039" max="11047" width="2.33203125" style="38" customWidth="1"/>
    <col min="11048" max="11052" width="2.109375" style="38" customWidth="1"/>
    <col min="11053" max="11264" width="9.109375" style="38"/>
    <col min="11265" max="11289" width="2.33203125" style="38" customWidth="1"/>
    <col min="11290" max="11294" width="2.109375" style="38" customWidth="1"/>
    <col min="11295" max="11303" width="2.33203125" style="38" customWidth="1"/>
    <col min="11304" max="11308" width="2.109375" style="38" customWidth="1"/>
    <col min="11309" max="11520" width="9.109375" style="38"/>
    <col min="11521" max="11545" width="2.33203125" style="38" customWidth="1"/>
    <col min="11546" max="11550" width="2.109375" style="38" customWidth="1"/>
    <col min="11551" max="11559" width="2.33203125" style="38" customWidth="1"/>
    <col min="11560" max="11564" width="2.109375" style="38" customWidth="1"/>
    <col min="11565" max="11776" width="9.109375" style="38"/>
    <col min="11777" max="11801" width="2.33203125" style="38" customWidth="1"/>
    <col min="11802" max="11806" width="2.109375" style="38" customWidth="1"/>
    <col min="11807" max="11815" width="2.33203125" style="38" customWidth="1"/>
    <col min="11816" max="11820" width="2.109375" style="38" customWidth="1"/>
    <col min="11821" max="12032" width="9.109375" style="38"/>
    <col min="12033" max="12057" width="2.33203125" style="38" customWidth="1"/>
    <col min="12058" max="12062" width="2.109375" style="38" customWidth="1"/>
    <col min="12063" max="12071" width="2.33203125" style="38" customWidth="1"/>
    <col min="12072" max="12076" width="2.109375" style="38" customWidth="1"/>
    <col min="12077" max="12288" width="9.109375" style="38"/>
    <col min="12289" max="12313" width="2.33203125" style="38" customWidth="1"/>
    <col min="12314" max="12318" width="2.109375" style="38" customWidth="1"/>
    <col min="12319" max="12327" width="2.33203125" style="38" customWidth="1"/>
    <col min="12328" max="12332" width="2.109375" style="38" customWidth="1"/>
    <col min="12333" max="12544" width="9.109375" style="38"/>
    <col min="12545" max="12569" width="2.33203125" style="38" customWidth="1"/>
    <col min="12570" max="12574" width="2.109375" style="38" customWidth="1"/>
    <col min="12575" max="12583" width="2.33203125" style="38" customWidth="1"/>
    <col min="12584" max="12588" width="2.109375" style="38" customWidth="1"/>
    <col min="12589" max="12800" width="9.109375" style="38"/>
    <col min="12801" max="12825" width="2.33203125" style="38" customWidth="1"/>
    <col min="12826" max="12830" width="2.109375" style="38" customWidth="1"/>
    <col min="12831" max="12839" width="2.33203125" style="38" customWidth="1"/>
    <col min="12840" max="12844" width="2.109375" style="38" customWidth="1"/>
    <col min="12845" max="13056" width="9.109375" style="38"/>
    <col min="13057" max="13081" width="2.33203125" style="38" customWidth="1"/>
    <col min="13082" max="13086" width="2.109375" style="38" customWidth="1"/>
    <col min="13087" max="13095" width="2.33203125" style="38" customWidth="1"/>
    <col min="13096" max="13100" width="2.109375" style="38" customWidth="1"/>
    <col min="13101" max="13312" width="9.109375" style="38"/>
    <col min="13313" max="13337" width="2.33203125" style="38" customWidth="1"/>
    <col min="13338" max="13342" width="2.109375" style="38" customWidth="1"/>
    <col min="13343" max="13351" width="2.33203125" style="38" customWidth="1"/>
    <col min="13352" max="13356" width="2.109375" style="38" customWidth="1"/>
    <col min="13357" max="13568" width="9.109375" style="38"/>
    <col min="13569" max="13593" width="2.33203125" style="38" customWidth="1"/>
    <col min="13594" max="13598" width="2.109375" style="38" customWidth="1"/>
    <col min="13599" max="13607" width="2.33203125" style="38" customWidth="1"/>
    <col min="13608" max="13612" width="2.109375" style="38" customWidth="1"/>
    <col min="13613" max="13824" width="9.109375" style="38"/>
    <col min="13825" max="13849" width="2.33203125" style="38" customWidth="1"/>
    <col min="13850" max="13854" width="2.109375" style="38" customWidth="1"/>
    <col min="13855" max="13863" width="2.33203125" style="38" customWidth="1"/>
    <col min="13864" max="13868" width="2.109375" style="38" customWidth="1"/>
    <col min="13869" max="14080" width="9.109375" style="38"/>
    <col min="14081" max="14105" width="2.33203125" style="38" customWidth="1"/>
    <col min="14106" max="14110" width="2.109375" style="38" customWidth="1"/>
    <col min="14111" max="14119" width="2.33203125" style="38" customWidth="1"/>
    <col min="14120" max="14124" width="2.109375" style="38" customWidth="1"/>
    <col min="14125" max="14336" width="9.109375" style="38"/>
    <col min="14337" max="14361" width="2.33203125" style="38" customWidth="1"/>
    <col min="14362" max="14366" width="2.109375" style="38" customWidth="1"/>
    <col min="14367" max="14375" width="2.33203125" style="38" customWidth="1"/>
    <col min="14376" max="14380" width="2.109375" style="38" customWidth="1"/>
    <col min="14381" max="14592" width="9.109375" style="38"/>
    <col min="14593" max="14617" width="2.33203125" style="38" customWidth="1"/>
    <col min="14618" max="14622" width="2.109375" style="38" customWidth="1"/>
    <col min="14623" max="14631" width="2.33203125" style="38" customWidth="1"/>
    <col min="14632" max="14636" width="2.109375" style="38" customWidth="1"/>
    <col min="14637" max="14848" width="9.109375" style="38"/>
    <col min="14849" max="14873" width="2.33203125" style="38" customWidth="1"/>
    <col min="14874" max="14878" width="2.109375" style="38" customWidth="1"/>
    <col min="14879" max="14887" width="2.33203125" style="38" customWidth="1"/>
    <col min="14888" max="14892" width="2.109375" style="38" customWidth="1"/>
    <col min="14893" max="15104" width="9.109375" style="38"/>
    <col min="15105" max="15129" width="2.33203125" style="38" customWidth="1"/>
    <col min="15130" max="15134" width="2.109375" style="38" customWidth="1"/>
    <col min="15135" max="15143" width="2.33203125" style="38" customWidth="1"/>
    <col min="15144" max="15148" width="2.109375" style="38" customWidth="1"/>
    <col min="15149" max="15360" width="9.109375" style="38"/>
    <col min="15361" max="15385" width="2.33203125" style="38" customWidth="1"/>
    <col min="15386" max="15390" width="2.109375" style="38" customWidth="1"/>
    <col min="15391" max="15399" width="2.33203125" style="38" customWidth="1"/>
    <col min="15400" max="15404" width="2.109375" style="38" customWidth="1"/>
    <col min="15405" max="15616" width="9.109375" style="38"/>
    <col min="15617" max="15641" width="2.33203125" style="38" customWidth="1"/>
    <col min="15642" max="15646" width="2.109375" style="38" customWidth="1"/>
    <col min="15647" max="15655" width="2.33203125" style="38" customWidth="1"/>
    <col min="15656" max="15660" width="2.109375" style="38" customWidth="1"/>
    <col min="15661" max="15872" width="9.109375" style="38"/>
    <col min="15873" max="15897" width="2.33203125" style="38" customWidth="1"/>
    <col min="15898" max="15902" width="2.109375" style="38" customWidth="1"/>
    <col min="15903" max="15911" width="2.33203125" style="38" customWidth="1"/>
    <col min="15912" max="15916" width="2.109375" style="38" customWidth="1"/>
    <col min="15917" max="16128" width="9.109375" style="38"/>
    <col min="16129" max="16153" width="2.33203125" style="38" customWidth="1"/>
    <col min="16154" max="16158" width="2.109375" style="38" customWidth="1"/>
    <col min="16159" max="16167" width="2.33203125" style="38" customWidth="1"/>
    <col min="16168" max="16172" width="2.109375" style="38" customWidth="1"/>
    <col min="16173" max="16384" width="9.109375" style="38"/>
  </cols>
  <sheetData>
    <row r="1" spans="1:256" ht="20.399999999999999" x14ac:dyDescent="0.3">
      <c r="A1" s="37" t="s">
        <v>40</v>
      </c>
      <c r="AO1" s="41">
        <v>0</v>
      </c>
      <c r="AP1" s="42"/>
      <c r="AQ1" s="42"/>
      <c r="AR1" s="41">
        <v>0</v>
      </c>
      <c r="AV1" s="43">
        <v>1.3888888888888888E-2</v>
      </c>
    </row>
    <row r="2" spans="1:256" x14ac:dyDescent="0.3">
      <c r="A2" s="38" t="s">
        <v>42</v>
      </c>
      <c r="E2" s="38" t="s">
        <v>76</v>
      </c>
      <c r="P2" s="44" t="s">
        <v>22</v>
      </c>
      <c r="Q2" s="45"/>
      <c r="R2" s="45"/>
      <c r="S2" s="45"/>
      <c r="T2" s="45"/>
      <c r="U2" s="45"/>
      <c r="V2" s="45"/>
      <c r="W2" s="45" t="s">
        <v>3</v>
      </c>
      <c r="X2" s="45"/>
      <c r="Y2" s="46" t="s">
        <v>41</v>
      </c>
      <c r="Z2" s="45"/>
      <c r="AA2" s="45"/>
      <c r="AB2" s="45"/>
      <c r="AC2" s="45"/>
      <c r="AD2" s="47"/>
      <c r="AE2" s="48"/>
      <c r="AF2" s="48"/>
      <c r="AG2" s="49"/>
    </row>
    <row r="3" spans="1:256" ht="15" thickBot="1" x14ac:dyDescent="0.35">
      <c r="A3" s="38" t="s">
        <v>19</v>
      </c>
      <c r="D3" s="415">
        <f>Wedstrijden!I2</f>
        <v>45732</v>
      </c>
      <c r="E3" s="416"/>
      <c r="F3" s="416"/>
      <c r="G3" s="416"/>
      <c r="H3" s="416"/>
      <c r="I3" s="416"/>
      <c r="J3" s="416"/>
      <c r="K3" s="416"/>
      <c r="L3" s="416"/>
      <c r="M3" s="416"/>
      <c r="N3" s="417"/>
      <c r="P3" s="50" t="s">
        <v>18</v>
      </c>
      <c r="Q3" s="51" t="s">
        <v>43</v>
      </c>
      <c r="W3" s="38" t="s">
        <v>0</v>
      </c>
      <c r="Y3" s="51" t="s">
        <v>44</v>
      </c>
      <c r="AG3" s="52"/>
    </row>
    <row r="4" spans="1:256" x14ac:dyDescent="0.3">
      <c r="A4" s="38" t="s">
        <v>20</v>
      </c>
      <c r="D4" s="418">
        <v>2</v>
      </c>
      <c r="E4" s="418"/>
      <c r="F4" s="53"/>
      <c r="G4" s="419">
        <f>VLOOKUP(D4,Wedstrijden!A6:B57,2,0)</f>
        <v>0.53472222222222221</v>
      </c>
      <c r="H4" s="419"/>
      <c r="I4" s="419"/>
      <c r="J4" s="54" t="s">
        <v>16</v>
      </c>
      <c r="K4" s="419">
        <f>G4+AV1</f>
        <v>0.54861111111111105</v>
      </c>
      <c r="L4" s="419"/>
      <c r="M4" s="419"/>
      <c r="N4" s="53"/>
      <c r="P4" s="50" t="s">
        <v>17</v>
      </c>
      <c r="Q4" s="51" t="s">
        <v>45</v>
      </c>
      <c r="W4" s="38" t="s">
        <v>9</v>
      </c>
      <c r="Y4" s="51" t="s">
        <v>46</v>
      </c>
      <c r="AG4" s="52"/>
      <c r="BF4" s="406" t="s">
        <v>102</v>
      </c>
      <c r="BG4" s="407"/>
      <c r="BH4" s="407"/>
      <c r="BI4" s="408"/>
    </row>
    <row r="5" spans="1:256" x14ac:dyDescent="0.3">
      <c r="A5" s="38" t="s">
        <v>164</v>
      </c>
      <c r="D5" s="260" t="str">
        <f>VLOOKUP(D4,Wedstrijden!A6:D20,4,0)</f>
        <v>A</v>
      </c>
      <c r="P5" s="50" t="s">
        <v>10</v>
      </c>
      <c r="Q5" s="51" t="s">
        <v>47</v>
      </c>
      <c r="W5" s="38" t="s">
        <v>12</v>
      </c>
      <c r="Y5" s="51" t="s">
        <v>48</v>
      </c>
      <c r="AG5" s="52"/>
      <c r="BF5" s="409"/>
      <c r="BG5" s="410"/>
      <c r="BH5" s="410"/>
      <c r="BI5" s="411"/>
    </row>
    <row r="6" spans="1:256" ht="14.4" thickBot="1" x14ac:dyDescent="0.2">
      <c r="A6" s="38" t="s">
        <v>21</v>
      </c>
      <c r="D6" s="55" t="str">
        <f>Wedstrijden!K2</f>
        <v>Den Bosch</v>
      </c>
      <c r="P6" s="50" t="s">
        <v>11</v>
      </c>
      <c r="Q6" s="51" t="s">
        <v>49</v>
      </c>
      <c r="W6" s="38" t="s">
        <v>13</v>
      </c>
      <c r="Y6" s="51" t="s">
        <v>50</v>
      </c>
      <c r="AG6" s="52"/>
      <c r="AH6" s="354" t="s">
        <v>51</v>
      </c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BF6" s="412"/>
      <c r="BG6" s="413"/>
      <c r="BH6" s="413"/>
      <c r="BI6" s="414"/>
    </row>
    <row r="7" spans="1:256" x14ac:dyDescent="0.2">
      <c r="A7" s="56" t="s">
        <v>52</v>
      </c>
      <c r="B7" s="57"/>
      <c r="C7" s="57"/>
      <c r="D7" s="57"/>
      <c r="E7" s="58" t="s">
        <v>53</v>
      </c>
      <c r="F7" s="57"/>
      <c r="G7" s="59" t="str">
        <f>VLOOKUP(D4,Wedstrijden!A6:L57,5,0)</f>
        <v>SVG Den Bosch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 t="s">
        <v>54</v>
      </c>
      <c r="X7" s="57"/>
      <c r="Y7" s="57"/>
      <c r="Z7" s="58" t="s">
        <v>55</v>
      </c>
      <c r="AA7" s="58"/>
      <c r="AB7" s="57"/>
      <c r="AC7" s="59" t="str">
        <f>VLOOKUP(D4,Wedstrijden!A6:L57,9,0)</f>
        <v>Gesposs Blauw</v>
      </c>
      <c r="AD7" s="60"/>
      <c r="AE7" s="61"/>
      <c r="AF7" s="61"/>
      <c r="AG7" s="61"/>
      <c r="AH7" s="61"/>
      <c r="AI7" s="61"/>
      <c r="AJ7" s="57"/>
      <c r="AK7" s="57"/>
      <c r="AL7" s="57"/>
      <c r="AM7" s="57"/>
      <c r="AN7" s="57"/>
      <c r="AO7" s="61"/>
      <c r="AP7" s="57"/>
      <c r="AQ7" s="57"/>
      <c r="AR7" s="62"/>
    </row>
    <row r="8" spans="1:256" x14ac:dyDescent="0.3">
      <c r="A8" s="63" t="s">
        <v>56</v>
      </c>
      <c r="B8" s="64"/>
      <c r="C8" s="64"/>
      <c r="D8" s="64"/>
      <c r="E8" s="64"/>
      <c r="F8" s="64"/>
      <c r="G8" s="64"/>
      <c r="H8" s="64"/>
      <c r="I8" s="64"/>
      <c r="J8" s="65" t="str">
        <f>VLOOKUP(D4,Wedstrijden!A6:P343,13,0)</f>
        <v>Kiki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 t="s">
        <v>57</v>
      </c>
      <c r="X8" s="64"/>
      <c r="Y8" s="64"/>
      <c r="Z8" s="66" t="str">
        <f>VLOOKUP(D4,Wedstrijden!A6:N170,14,0)</f>
        <v>Dolf</v>
      </c>
      <c r="AA8" s="64"/>
      <c r="AB8" s="64"/>
      <c r="AC8" s="64"/>
      <c r="AD8" s="67"/>
      <c r="AE8" s="68"/>
      <c r="AF8" s="68"/>
      <c r="AG8" s="68"/>
      <c r="AH8" s="68"/>
      <c r="AI8" s="68"/>
      <c r="AJ8" s="69" t="s">
        <v>17</v>
      </c>
      <c r="AK8" s="64"/>
      <c r="AL8" s="64"/>
      <c r="AM8" s="64"/>
      <c r="AN8" s="64"/>
      <c r="AO8" s="68"/>
      <c r="AP8" s="64"/>
      <c r="AQ8" s="64"/>
      <c r="AR8" s="70"/>
    </row>
    <row r="9" spans="1:256" ht="14.4" thickBot="1" x14ac:dyDescent="0.35">
      <c r="A9" s="71" t="s">
        <v>58</v>
      </c>
      <c r="B9" s="72"/>
      <c r="C9" s="72"/>
      <c r="D9" s="72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 t="s">
        <v>59</v>
      </c>
      <c r="X9" s="72"/>
      <c r="Y9" s="72"/>
      <c r="Z9" s="72"/>
      <c r="AA9" s="72"/>
      <c r="AB9" s="73"/>
      <c r="AC9" s="73"/>
      <c r="AD9" s="75"/>
      <c r="AE9" s="76"/>
      <c r="AF9" s="76"/>
      <c r="AG9" s="76"/>
      <c r="AH9" s="76"/>
      <c r="AI9" s="76"/>
      <c r="AJ9" s="73"/>
      <c r="AK9" s="73"/>
      <c r="AL9" s="73"/>
      <c r="AM9" s="73"/>
      <c r="AN9" s="73"/>
      <c r="AO9" s="76"/>
      <c r="AP9" s="73"/>
      <c r="AQ9" s="73"/>
      <c r="AR9" s="77"/>
    </row>
    <row r="10" spans="1:256" ht="15" x14ac:dyDescent="0.3">
      <c r="A10" s="78" t="s">
        <v>60</v>
      </c>
      <c r="B10" s="79"/>
      <c r="C10" s="79"/>
      <c r="D10" s="79"/>
      <c r="E10" s="79"/>
      <c r="F10" s="356" t="str">
        <f>+G7</f>
        <v>SVG Den Bosch</v>
      </c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7"/>
      <c r="Z10" s="362" t="s">
        <v>8</v>
      </c>
      <c r="AA10" s="363"/>
      <c r="AB10" s="363"/>
      <c r="AC10" s="363"/>
      <c r="AD10" s="364"/>
      <c r="AE10" s="80"/>
      <c r="AF10" s="80"/>
      <c r="AG10" s="80"/>
      <c r="AH10" s="80" t="s">
        <v>61</v>
      </c>
      <c r="AI10" s="80" t="s">
        <v>61</v>
      </c>
      <c r="AJ10" s="371" t="s">
        <v>14</v>
      </c>
      <c r="AK10" s="372"/>
      <c r="AL10" s="377" t="s">
        <v>62</v>
      </c>
      <c r="AM10" s="378"/>
      <c r="AN10" s="383" t="s">
        <v>15</v>
      </c>
      <c r="AO10" s="384"/>
      <c r="AP10" s="384"/>
      <c r="AQ10" s="384"/>
      <c r="AR10" s="385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2" t="s">
        <v>136</v>
      </c>
      <c r="BL10" s="82" t="str">
        <f>CONCATENATE($BL$12&amp;BK10&amp;"x")</f>
        <v>swwx</v>
      </c>
      <c r="BM10" s="82" t="str">
        <f>CONCATENATE($BM$12&amp;BK10&amp;"x")</f>
        <v>dwx</v>
      </c>
      <c r="BN10" s="82" t="str">
        <f>CONCATENATE($BN$12&amp;BK10&amp;"x")</f>
        <v>pwx</v>
      </c>
      <c r="BO10" s="82" t="str">
        <f>CONCATENATE($BO$12&amp;BK10&amp;"x")</f>
        <v>umvwx</v>
      </c>
      <c r="BP10" s="82" t="str">
        <f>CONCATENATE($BP$12&amp;BK10&amp;"x")</f>
        <v>uzvwx</v>
      </c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1" spans="1:256" x14ac:dyDescent="0.3">
      <c r="A11" s="393" t="s">
        <v>7</v>
      </c>
      <c r="B11" s="394"/>
      <c r="C11" s="394"/>
      <c r="D11" s="394"/>
      <c r="E11" s="81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  <c r="Z11" s="365"/>
      <c r="AA11" s="366"/>
      <c r="AB11" s="366"/>
      <c r="AC11" s="366"/>
      <c r="AD11" s="367"/>
      <c r="AE11" s="83" t="s">
        <v>63</v>
      </c>
      <c r="AF11" s="83"/>
      <c r="AG11" s="83"/>
      <c r="AH11" s="83" t="s">
        <v>64</v>
      </c>
      <c r="AI11" s="83" t="s">
        <v>65</v>
      </c>
      <c r="AJ11" s="373"/>
      <c r="AK11" s="374"/>
      <c r="AL11" s="379"/>
      <c r="AM11" s="380"/>
      <c r="AN11" s="386"/>
      <c r="AO11" s="387"/>
      <c r="AP11" s="387"/>
      <c r="AQ11" s="387"/>
      <c r="AR11" s="388"/>
      <c r="AS11" s="81"/>
      <c r="AT11" s="81"/>
      <c r="AU11" s="81" t="s">
        <v>17</v>
      </c>
      <c r="AV11" s="81" t="s">
        <v>18</v>
      </c>
      <c r="AW11" s="81" t="s">
        <v>77</v>
      </c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2" t="s">
        <v>142</v>
      </c>
      <c r="BL11" s="82" t="str">
        <f>CONCATENATE($BL$12&amp;BK11&amp;"x")</f>
        <v>swbx</v>
      </c>
      <c r="BM11" s="82" t="str">
        <f>CONCATENATE($BM$12&amp;BK11&amp;"x")</f>
        <v>dbx</v>
      </c>
      <c r="BN11" s="82" t="str">
        <f>CONCATENATE($BN$12&amp;BK11&amp;"x")</f>
        <v>pbx</v>
      </c>
      <c r="BO11" s="82" t="str">
        <f>CONCATENATE($BO$12&amp;BK11&amp;"x")</f>
        <v>umvbx</v>
      </c>
      <c r="BP11" s="82" t="str">
        <f>CONCATENATE($BP$12&amp;BK11&amp;"x")</f>
        <v>uzvbx</v>
      </c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</row>
    <row r="12" spans="1:256" ht="18" x14ac:dyDescent="0.35">
      <c r="A12" s="395"/>
      <c r="B12" s="396"/>
      <c r="C12" s="396"/>
      <c r="D12" s="394"/>
      <c r="E12" s="81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1"/>
      <c r="Z12" s="368"/>
      <c r="AA12" s="369"/>
      <c r="AB12" s="369"/>
      <c r="AC12" s="369"/>
      <c r="AD12" s="370"/>
      <c r="AE12" s="84" t="s">
        <v>17</v>
      </c>
      <c r="AF12" s="84" t="s">
        <v>10</v>
      </c>
      <c r="AG12" s="84" t="s">
        <v>11</v>
      </c>
      <c r="AH12" s="84" t="s">
        <v>66</v>
      </c>
      <c r="AI12" s="84" t="s">
        <v>66</v>
      </c>
      <c r="AJ12" s="375"/>
      <c r="AK12" s="376"/>
      <c r="AL12" s="381"/>
      <c r="AM12" s="382"/>
      <c r="AN12" s="389" t="s">
        <v>17</v>
      </c>
      <c r="AO12" s="369"/>
      <c r="AP12" s="85"/>
      <c r="AQ12" s="369" t="s">
        <v>18</v>
      </c>
      <c r="AR12" s="390"/>
      <c r="AS12" s="81"/>
      <c r="AT12" s="81"/>
      <c r="AU12" s="81" t="s">
        <v>78</v>
      </c>
      <c r="AV12" s="81" t="s">
        <v>79</v>
      </c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 t="s">
        <v>138</v>
      </c>
      <c r="BM12" s="81" t="s">
        <v>139</v>
      </c>
      <c r="BN12" s="81" t="s">
        <v>79</v>
      </c>
      <c r="BO12" s="81" t="s">
        <v>140</v>
      </c>
      <c r="BP12" s="81" t="s">
        <v>141</v>
      </c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</row>
    <row r="13" spans="1:256" ht="15.6" x14ac:dyDescent="0.3">
      <c r="A13" s="86" t="s">
        <v>0</v>
      </c>
      <c r="B13" s="87" t="s">
        <v>1</v>
      </c>
      <c r="C13" s="88"/>
      <c r="D13" s="89"/>
      <c r="E13" s="88" t="s">
        <v>2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90"/>
      <c r="V13" s="91" t="s">
        <v>3</v>
      </c>
      <c r="W13" s="91" t="s">
        <v>4</v>
      </c>
      <c r="X13" s="91" t="s">
        <v>5</v>
      </c>
      <c r="Y13" s="92" t="s">
        <v>6</v>
      </c>
      <c r="Z13" s="93"/>
      <c r="AA13" s="94">
        <v>1</v>
      </c>
      <c r="AB13" s="95" t="s">
        <v>16</v>
      </c>
      <c r="AC13" s="94">
        <v>3</v>
      </c>
      <c r="AD13" s="96">
        <v>0</v>
      </c>
      <c r="AE13" s="97"/>
      <c r="AF13" s="97"/>
      <c r="AG13" s="98" t="s">
        <v>265</v>
      </c>
      <c r="AH13" s="99"/>
      <c r="AI13" s="99"/>
      <c r="AJ13" s="391" t="s">
        <v>17</v>
      </c>
      <c r="AK13" s="392"/>
      <c r="AL13" s="401">
        <v>4</v>
      </c>
      <c r="AM13" s="402"/>
      <c r="AN13" s="100"/>
      <c r="AO13" s="101">
        <f>IF(BQ13="","",IF(BQ13=$BL$10,"2"+AO1,IF(BQ13=$BM$10,"1"+AO1,IF(BQ13=$BN$10,"0"+AO1,IF(BQ13=$BO$10,"0"+AO1,IF(BQ13=$BP$10,"0"+AO1,"0"+AO1))))))</f>
        <v>1</v>
      </c>
      <c r="AP13" s="95" t="s">
        <v>16</v>
      </c>
      <c r="AQ13" s="102"/>
      <c r="AR13" s="103">
        <f>IF(BQ13="","",IF(BQ13=$BL$11,"2"+AR1,IF(BQ13=$BM$11,"1"+AR1,IF(BQ13=$BN$11,"0"+AR1,IF(BQ13=$BO$11,"0"+AR1,IF(BQ13=$BP$11,"0"+AR1,"0"+AR1))))))</f>
        <v>0</v>
      </c>
      <c r="AY13" s="38" t="str">
        <f>CONCATENATE(AJ13&amp;AL13)</f>
        <v>W4</v>
      </c>
      <c r="AZ13" s="38" t="str">
        <f>IF(AE13=$AW$11,"2","0")</f>
        <v>0</v>
      </c>
      <c r="BA13" s="38" t="str">
        <f>IF(AG13=$AW$11,"1","0")</f>
        <v>1</v>
      </c>
      <c r="BB13" s="38" t="str">
        <f>IF(AF13=$AW$11,"1","0")</f>
        <v>0</v>
      </c>
      <c r="BC13" s="38">
        <f>AZ13+BA13</f>
        <v>1</v>
      </c>
      <c r="BD13" s="38">
        <f>BB13+0</f>
        <v>0</v>
      </c>
      <c r="BL13" s="38" t="str">
        <f>IF(AE13="","",CONCATENATE($BL$12&amp;AJ13&amp;AE13))</f>
        <v/>
      </c>
      <c r="BM13" s="38" t="str">
        <f>IF(AG13="","",CONCATENATE($BM$12&amp;AJ13&amp;AG13))</f>
        <v>dWX</v>
      </c>
      <c r="BN13" s="38" t="str">
        <f>IF(AF13="","",CONCATENATE($BN$12&amp;AJ13,AF13))</f>
        <v/>
      </c>
      <c r="BO13" s="38" t="str">
        <f>IF(AH13="","",CONCATENATE($BO$12&amp;AJ13&amp;AH13))</f>
        <v/>
      </c>
      <c r="BP13" s="38" t="str">
        <f>IF(AI13="","",CONCATENATE($BP$12&amp;AJ13&amp;AI13))</f>
        <v/>
      </c>
      <c r="BQ13" s="38" t="str">
        <f>CONCATENATE(BL13&amp;BM13&amp;BN13&amp;BO13&amp;BP13)</f>
        <v>dWX</v>
      </c>
    </row>
    <row r="14" spans="1:256" ht="15.6" x14ac:dyDescent="0.3">
      <c r="A14" s="104" t="s">
        <v>265</v>
      </c>
      <c r="B14" s="397">
        <f>IF(ISBLANK(HLOOKUP($F$10,spelerslijsten!$B$1:$J$22,4,FALSE)),"",HLOOKUP($F$10,spelerslijsten!$B$1:$J$22,4,FALSE))</f>
        <v>3</v>
      </c>
      <c r="C14" s="398"/>
      <c r="D14" s="105"/>
      <c r="E14" s="106" t="str">
        <f>IF(ISBLANK(HLOOKUP($F$10,spelerslijsten!$B$1:$J$22,3,FALSE)),"",HLOOKUP($F$10,spelerslijsten!$B$1:$J$22,3,FALSE))</f>
        <v>Bjorn Blom</v>
      </c>
      <c r="F14" s="107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8">
        <f t="shared" ref="V14:V20" si="0">SUMIF($AY$13:$AY$46,AT14,$BC$13:$BC$46)</f>
        <v>0</v>
      </c>
      <c r="W14" s="109" t="str">
        <f>IF(AU14&gt;0,"x","")</f>
        <v/>
      </c>
      <c r="X14" s="110" t="str">
        <f>IF(AU14&gt;1,"x","")</f>
        <v/>
      </c>
      <c r="Y14" s="103" t="str">
        <f>IF(AU14&gt;2,"x","")</f>
        <v/>
      </c>
      <c r="Z14" s="111"/>
      <c r="AA14" s="112">
        <v>2</v>
      </c>
      <c r="AB14" s="113" t="str">
        <f>+AB13</f>
        <v>-</v>
      </c>
      <c r="AC14" s="112">
        <v>3</v>
      </c>
      <c r="AD14" s="114">
        <v>0</v>
      </c>
      <c r="AE14" s="115"/>
      <c r="AF14" s="115"/>
      <c r="AG14" s="116" t="s">
        <v>265</v>
      </c>
      <c r="AH14" s="117"/>
      <c r="AI14" s="117"/>
      <c r="AJ14" s="342" t="s">
        <v>17</v>
      </c>
      <c r="AK14" s="343"/>
      <c r="AL14" s="346">
        <v>5</v>
      </c>
      <c r="AM14" s="347"/>
      <c r="AN14" s="118"/>
      <c r="AO14" s="101">
        <f>IF(BQ14="","",IF(BQ14=$BL$10,"2"+AO13,IF(BQ14=$BM$10,"1"+AO13,IF(BQ14=$BN$10,"0"+AO13,IF(BQ14=$BO$10,"0"+AO13,IF(BQ14=$BP$10,"0"+AO13,"0"+AO13))))))</f>
        <v>2</v>
      </c>
      <c r="AP14" s="113" t="str">
        <f>+AP13</f>
        <v>-</v>
      </c>
      <c r="AQ14" s="119"/>
      <c r="AR14" s="103">
        <f>IF(BQ14="","",IF(BQ14=$BL$11,"2"+AR13,IF(BQ14=$BM$11,"1"+AR13,IF(BQ14=$BN$11,"0"+AR13,IF(BQ14=$BO$11,"0"+AR13,IF(BQ14=$BP$11,"0"+AR13,"0"+AR13))))))</f>
        <v>0</v>
      </c>
      <c r="AT14" s="38" t="str">
        <f>CONCATENATE($AU$11&amp;B14)</f>
        <v>W3</v>
      </c>
      <c r="AU14" s="38">
        <f>SUMIF($AY$13:$AY$46,AT14,$BD$13:$BD$46)</f>
        <v>0</v>
      </c>
      <c r="AY14" s="38" t="str">
        <f t="shared" ref="AY14:AY46" si="1">CONCATENATE(AJ14&amp;AL14)</f>
        <v>W5</v>
      </c>
      <c r="AZ14" s="38" t="str">
        <f t="shared" ref="AZ14:AZ46" si="2">IF(AE14=$AW$11,"2","0")</f>
        <v>0</v>
      </c>
      <c r="BA14" s="38" t="str">
        <f t="shared" ref="BA14:BA46" si="3">IF(AG14=$AW$11,"1","0")</f>
        <v>1</v>
      </c>
      <c r="BB14" s="38" t="str">
        <f t="shared" ref="BB14:BB46" si="4">IF(AF14=$AW$11,"1","0")</f>
        <v>0</v>
      </c>
      <c r="BC14" s="38">
        <f t="shared" ref="BC14:BC46" si="5">AZ14+BA14</f>
        <v>1</v>
      </c>
      <c r="BD14" s="38">
        <f t="shared" ref="BD14:BD46" si="6">BB14+0</f>
        <v>0</v>
      </c>
      <c r="BL14" s="38" t="str">
        <f t="shared" ref="BL14:BL46" si="7">IF(AE14="","",CONCATENATE($BL$12&amp;AJ14&amp;AE14))</f>
        <v/>
      </c>
      <c r="BM14" s="38" t="str">
        <f t="shared" ref="BM14:BM46" si="8">IF(AG14="","",CONCATENATE($BM$12&amp;AJ14&amp;AG14))</f>
        <v>dWX</v>
      </c>
      <c r="BN14" s="38" t="str">
        <f t="shared" ref="BN14:BN46" si="9">IF(AF14="","",CONCATENATE($BN$12&amp;AJ14,AF14))</f>
        <v/>
      </c>
      <c r="BO14" s="38" t="str">
        <f t="shared" ref="BO14:BO46" si="10">IF(AH14="","",CONCATENATE($BO$12&amp;AJ14&amp;AH14))</f>
        <v/>
      </c>
      <c r="BP14" s="38" t="str">
        <f t="shared" ref="BP14:BP46" si="11">IF(AI14="","",CONCATENATE($BP$12&amp;AJ14&amp;AI14))</f>
        <v/>
      </c>
      <c r="BQ14" s="38" t="str">
        <f t="shared" ref="BQ14:BQ46" si="12">CONCATENATE(BL14&amp;BM14&amp;BN14&amp;BO14&amp;BP14)</f>
        <v>dWX</v>
      </c>
    </row>
    <row r="15" spans="1:256" ht="15.6" x14ac:dyDescent="0.3">
      <c r="A15" s="120" t="s">
        <v>265</v>
      </c>
      <c r="B15" s="397">
        <f>IF(ISBLANK(HLOOKUP($F$10,spelerslijsten!$B$1:$J$22,6,FALSE)),"",HLOOKUP($F$10,spelerslijsten!$B$1:$J$22,6,FALSE))</f>
        <v>4</v>
      </c>
      <c r="C15" s="398"/>
      <c r="D15" s="121"/>
      <c r="E15" s="122" t="str">
        <f>IF(ISBLANK(HLOOKUP($F$10,spelerslijsten!$B$1:$J$22,5,FALSE)),"",HLOOKUP($F$10,spelerslijsten!$B$1:$J$22,5,FALSE))</f>
        <v>Wesley van Eldijk</v>
      </c>
      <c r="F15" s="123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08">
        <f t="shared" si="0"/>
        <v>1</v>
      </c>
      <c r="W15" s="109" t="str">
        <f t="shared" ref="W15:W23" si="13">IF(AU15&gt;0,"x","")</f>
        <v/>
      </c>
      <c r="X15" s="110" t="str">
        <f t="shared" ref="X15:X23" si="14">IF(AU15&gt;1,"x","")</f>
        <v/>
      </c>
      <c r="Y15" s="103" t="str">
        <f t="shared" ref="Y15:Y23" si="15">IF(AU15&gt;2,"x","")</f>
        <v/>
      </c>
      <c r="Z15" s="111"/>
      <c r="AA15" s="112">
        <v>3</v>
      </c>
      <c r="AB15" s="113" t="str">
        <f t="shared" ref="AB15:AB44" si="16">+AB14</f>
        <v>-</v>
      </c>
      <c r="AC15" s="112">
        <v>2</v>
      </c>
      <c r="AD15" s="114">
        <v>5</v>
      </c>
      <c r="AE15" s="115"/>
      <c r="AF15" s="115"/>
      <c r="AG15" s="116" t="s">
        <v>265</v>
      </c>
      <c r="AH15" s="117"/>
      <c r="AI15" s="117"/>
      <c r="AJ15" s="342" t="s">
        <v>18</v>
      </c>
      <c r="AK15" s="343"/>
      <c r="AL15" s="346">
        <v>8</v>
      </c>
      <c r="AM15" s="347"/>
      <c r="AN15" s="118"/>
      <c r="AO15" s="101">
        <f>IF(BQ15="","",IF(BQ15=$BL$10,"2"+AO14,IF(BQ15=$BM$10,"1"+AO14,IF(BQ15=$BN$10,"0"+AO14,IF(BQ15=$BO$10,"0"+AO14,IF(BQ15=$BP$10,"0"+AO14,"0"+AO14))))))</f>
        <v>2</v>
      </c>
      <c r="AP15" s="113" t="str">
        <f>+AP14</f>
        <v>-</v>
      </c>
      <c r="AQ15" s="119"/>
      <c r="AR15" s="103">
        <f>IF(BQ15="","",IF(BQ15=$BL$11,"2"+AR14,IF(BQ15=$BM$11,"1"+AR14,IF(BQ15=$BN$11,"0"+AR14,IF(BQ15=$BO$11,"0"+AR14,IF(BQ15=$BP$11,"0"+AR14,"0"+AR14))))))</f>
        <v>1</v>
      </c>
      <c r="AT15" s="38" t="str">
        <f t="shared" ref="AT15:AT23" si="17">CONCATENATE($AU$11&amp;B15)</f>
        <v>W4</v>
      </c>
      <c r="AU15" s="38">
        <f t="shared" ref="AU15:AU39" si="18">SUMIF($AY$13:$AY$46,AT15,$BD$13:$BD$46)</f>
        <v>0</v>
      </c>
      <c r="AY15" s="38" t="str">
        <f t="shared" si="1"/>
        <v>B8</v>
      </c>
      <c r="AZ15" s="38" t="str">
        <f t="shared" si="2"/>
        <v>0</v>
      </c>
      <c r="BA15" s="38" t="str">
        <f t="shared" si="3"/>
        <v>1</v>
      </c>
      <c r="BB15" s="38" t="str">
        <f t="shared" si="4"/>
        <v>0</v>
      </c>
      <c r="BC15" s="38">
        <f t="shared" si="5"/>
        <v>1</v>
      </c>
      <c r="BD15" s="38">
        <f t="shared" si="6"/>
        <v>0</v>
      </c>
      <c r="BL15" s="38" t="str">
        <f t="shared" si="7"/>
        <v/>
      </c>
      <c r="BM15" s="38" t="str">
        <f t="shared" si="8"/>
        <v>dBX</v>
      </c>
      <c r="BN15" s="38" t="str">
        <f t="shared" si="9"/>
        <v/>
      </c>
      <c r="BO15" s="38" t="str">
        <f t="shared" si="10"/>
        <v/>
      </c>
      <c r="BP15" s="38" t="str">
        <f t="shared" si="11"/>
        <v/>
      </c>
      <c r="BQ15" s="38" t="str">
        <f t="shared" si="12"/>
        <v>dBX</v>
      </c>
    </row>
    <row r="16" spans="1:256" ht="15.6" x14ac:dyDescent="0.3">
      <c r="A16" s="124" t="s">
        <v>265</v>
      </c>
      <c r="B16" s="397">
        <f>IF(ISBLANK(HLOOKUP($F$10,spelerslijsten!$B$1:$J$22,8,FALSE)),"",HLOOKUP($F$10,spelerslijsten!$B$1:$J$22,8,FALSE))</f>
        <v>5</v>
      </c>
      <c r="C16" s="398"/>
      <c r="D16" s="121"/>
      <c r="E16" s="122" t="str">
        <f>IF(ISBLANK(HLOOKUP($F$10,spelerslijsten!$B$1:$J$22,7,FALSE)),"",HLOOKUP($F$10,spelerslijsten!$B$1:$J$22,7,FALSE))</f>
        <v>Jurriaan Rijnaars</v>
      </c>
      <c r="F16" s="12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08">
        <f t="shared" si="0"/>
        <v>1</v>
      </c>
      <c r="W16" s="109" t="str">
        <f t="shared" si="13"/>
        <v/>
      </c>
      <c r="X16" s="110" t="str">
        <f t="shared" si="14"/>
        <v/>
      </c>
      <c r="Y16" s="103" t="str">
        <f t="shared" si="15"/>
        <v/>
      </c>
      <c r="Z16" s="111"/>
      <c r="AA16" s="112">
        <v>4</v>
      </c>
      <c r="AB16" s="113" t="str">
        <f t="shared" si="16"/>
        <v>-</v>
      </c>
      <c r="AC16" s="112">
        <v>5</v>
      </c>
      <c r="AD16" s="114">
        <v>3</v>
      </c>
      <c r="AE16" s="115"/>
      <c r="AF16" s="115"/>
      <c r="AG16" s="116" t="s">
        <v>265</v>
      </c>
      <c r="AH16" s="117"/>
      <c r="AI16" s="117"/>
      <c r="AJ16" s="342" t="s">
        <v>17</v>
      </c>
      <c r="AK16" s="343"/>
      <c r="AL16" s="346">
        <v>11</v>
      </c>
      <c r="AM16" s="347"/>
      <c r="AN16" s="118"/>
      <c r="AO16" s="101">
        <f t="shared" ref="AO16:AO46" si="19">IF(BQ16="","",IF(BQ16=$BL$10,"2"+AO15,IF(BQ16=$BM$10,"1"+AO15,IF(BQ16=$BN$10,"0"+AO15,IF(BQ16=$BO$10,"0"+AO15,IF(BQ16=$BP$10,"0"+AO15,"0"+AO15))))))</f>
        <v>3</v>
      </c>
      <c r="AP16" s="113" t="str">
        <f t="shared" ref="AP16:AP46" si="20">+AP15</f>
        <v>-</v>
      </c>
      <c r="AQ16" s="119"/>
      <c r="AR16" s="103">
        <f t="shared" ref="AR16:AR46" si="21">IF(BQ16="","",IF(BQ16=$BL$11,"2"+AR15,IF(BQ16=$BM$11,"1"+AR15,IF(BQ16=$BN$11,"0"+AR15,IF(BQ16=$BO$11,"0"+AR15,IF(BQ16=$BP$11,"0"+AR15,"0"+AR15))))))</f>
        <v>1</v>
      </c>
      <c r="AT16" s="38" t="str">
        <f t="shared" si="17"/>
        <v>W5</v>
      </c>
      <c r="AU16" s="38">
        <f t="shared" si="18"/>
        <v>0</v>
      </c>
      <c r="AY16" s="38" t="str">
        <f t="shared" si="1"/>
        <v>W11</v>
      </c>
      <c r="AZ16" s="38" t="str">
        <f t="shared" si="2"/>
        <v>0</v>
      </c>
      <c r="BA16" s="38" t="str">
        <f t="shared" si="3"/>
        <v>1</v>
      </c>
      <c r="BB16" s="38" t="str">
        <f t="shared" si="4"/>
        <v>0</v>
      </c>
      <c r="BC16" s="38">
        <f t="shared" si="5"/>
        <v>1</v>
      </c>
      <c r="BD16" s="38">
        <f t="shared" si="6"/>
        <v>0</v>
      </c>
      <c r="BL16" s="38" t="str">
        <f t="shared" si="7"/>
        <v/>
      </c>
      <c r="BM16" s="38" t="str">
        <f t="shared" si="8"/>
        <v>dWX</v>
      </c>
      <c r="BN16" s="38" t="str">
        <f t="shared" si="9"/>
        <v/>
      </c>
      <c r="BO16" s="38" t="str">
        <f t="shared" si="10"/>
        <v/>
      </c>
      <c r="BP16" s="38" t="str">
        <f t="shared" si="11"/>
        <v/>
      </c>
      <c r="BQ16" s="38" t="str">
        <f t="shared" si="12"/>
        <v>dWX</v>
      </c>
    </row>
    <row r="17" spans="1:69" ht="15.6" x14ac:dyDescent="0.3">
      <c r="A17" s="124" t="s">
        <v>265</v>
      </c>
      <c r="B17" s="397">
        <f>IF(ISBLANK(HLOOKUP($F$10,spelerslijsten!$B$1:$J$22,10,FALSE)),"",HLOOKUP($F$10,spelerslijsten!$B$1:$J$22,10,FALSE))</f>
        <v>6</v>
      </c>
      <c r="C17" s="398"/>
      <c r="D17" s="121"/>
      <c r="E17" s="122" t="str">
        <f>IF(ISBLANK(HLOOKUP($F$10,spelerslijsten!$B$1:$J$22,9,FALSE)),"",HLOOKUP($F$10,spelerslijsten!$B$1:$J$22,9,FALSE))</f>
        <v>Lucas van Osch</v>
      </c>
      <c r="F17" s="12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08">
        <f t="shared" si="0"/>
        <v>0</v>
      </c>
      <c r="W17" s="109" t="str">
        <f t="shared" si="13"/>
        <v/>
      </c>
      <c r="X17" s="110" t="str">
        <f t="shared" si="14"/>
        <v/>
      </c>
      <c r="Y17" s="103" t="str">
        <f t="shared" si="15"/>
        <v/>
      </c>
      <c r="Z17" s="111"/>
      <c r="AA17" s="112">
        <v>7</v>
      </c>
      <c r="AB17" s="113" t="str">
        <f t="shared" si="16"/>
        <v>-</v>
      </c>
      <c r="AC17" s="112">
        <v>4</v>
      </c>
      <c r="AD17" s="114">
        <v>0</v>
      </c>
      <c r="AE17" s="115"/>
      <c r="AF17" s="115"/>
      <c r="AG17" s="116" t="s">
        <v>265</v>
      </c>
      <c r="AH17" s="117"/>
      <c r="AI17" s="117"/>
      <c r="AJ17" s="342" t="s">
        <v>17</v>
      </c>
      <c r="AK17" s="343"/>
      <c r="AL17" s="346">
        <v>11</v>
      </c>
      <c r="AM17" s="347"/>
      <c r="AN17" s="118"/>
      <c r="AO17" s="101">
        <f t="shared" si="19"/>
        <v>4</v>
      </c>
      <c r="AP17" s="113" t="str">
        <f t="shared" si="20"/>
        <v>-</v>
      </c>
      <c r="AQ17" s="119"/>
      <c r="AR17" s="103">
        <f t="shared" si="21"/>
        <v>1</v>
      </c>
      <c r="AT17" s="38" t="str">
        <f t="shared" si="17"/>
        <v>W6</v>
      </c>
      <c r="AU17" s="38">
        <f t="shared" si="18"/>
        <v>0</v>
      </c>
      <c r="AY17" s="38" t="str">
        <f t="shared" si="1"/>
        <v>W11</v>
      </c>
      <c r="AZ17" s="38" t="str">
        <f t="shared" si="2"/>
        <v>0</v>
      </c>
      <c r="BA17" s="38" t="str">
        <f t="shared" si="3"/>
        <v>1</v>
      </c>
      <c r="BB17" s="38" t="str">
        <f t="shared" si="4"/>
        <v>0</v>
      </c>
      <c r="BC17" s="38">
        <f t="shared" si="5"/>
        <v>1</v>
      </c>
      <c r="BD17" s="38">
        <f t="shared" si="6"/>
        <v>0</v>
      </c>
      <c r="BL17" s="38" t="str">
        <f t="shared" si="7"/>
        <v/>
      </c>
      <c r="BM17" s="38" t="str">
        <f t="shared" si="8"/>
        <v>dWX</v>
      </c>
      <c r="BN17" s="38" t="str">
        <f t="shared" si="9"/>
        <v/>
      </c>
      <c r="BO17" s="38" t="str">
        <f t="shared" si="10"/>
        <v/>
      </c>
      <c r="BP17" s="38" t="str">
        <f t="shared" si="11"/>
        <v/>
      </c>
      <c r="BQ17" s="38" t="str">
        <f t="shared" si="12"/>
        <v>dWX</v>
      </c>
    </row>
    <row r="18" spans="1:69" ht="15.6" x14ac:dyDescent="0.3">
      <c r="A18" s="124" t="s">
        <v>265</v>
      </c>
      <c r="B18" s="397">
        <f>IF(ISBLANK(HLOOKUP($F$10,spelerslijsten!$B$1:$J$22,12,FALSE)),"",HLOOKUP($F$10,spelerslijsten!$B$1:$J$22,12,FALSE))</f>
        <v>7</v>
      </c>
      <c r="C18" s="398"/>
      <c r="D18" s="121"/>
      <c r="E18" s="122" t="str">
        <f>IF(ISBLANK(HLOOKUP($F$10,spelerslijsten!$B$1:$J$22,11,FALSE)),"",HLOOKUP($F$10,spelerslijsten!$B$1:$J$22,11,FALSE))</f>
        <v>Helmi van Hirtum</v>
      </c>
      <c r="F18" s="12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08">
        <f t="shared" si="0"/>
        <v>0</v>
      </c>
      <c r="W18" s="109" t="str">
        <f t="shared" si="13"/>
        <v/>
      </c>
      <c r="X18" s="110" t="str">
        <f t="shared" si="14"/>
        <v/>
      </c>
      <c r="Y18" s="103" t="str">
        <f t="shared" si="15"/>
        <v/>
      </c>
      <c r="Z18" s="111">
        <v>1</v>
      </c>
      <c r="AA18" s="112">
        <v>3</v>
      </c>
      <c r="AB18" s="113" t="s">
        <v>16</v>
      </c>
      <c r="AC18" s="112">
        <v>3</v>
      </c>
      <c r="AD18" s="114">
        <v>0</v>
      </c>
      <c r="AE18" s="115"/>
      <c r="AF18" s="115"/>
      <c r="AG18" s="116" t="s">
        <v>265</v>
      </c>
      <c r="AH18" s="117"/>
      <c r="AI18" s="117"/>
      <c r="AJ18" s="342" t="s">
        <v>18</v>
      </c>
      <c r="AK18" s="343"/>
      <c r="AL18" s="346">
        <v>9</v>
      </c>
      <c r="AM18" s="347"/>
      <c r="AN18" s="118"/>
      <c r="AO18" s="101">
        <f t="shared" si="19"/>
        <v>4</v>
      </c>
      <c r="AP18" s="113" t="str">
        <f t="shared" si="20"/>
        <v>-</v>
      </c>
      <c r="AQ18" s="119"/>
      <c r="AR18" s="103">
        <f t="shared" si="21"/>
        <v>2</v>
      </c>
      <c r="AT18" s="38" t="str">
        <f t="shared" si="17"/>
        <v>W7</v>
      </c>
      <c r="AU18" s="38">
        <f t="shared" si="18"/>
        <v>0</v>
      </c>
      <c r="AY18" s="38" t="str">
        <f t="shared" si="1"/>
        <v>B9</v>
      </c>
      <c r="AZ18" s="38" t="str">
        <f t="shared" si="2"/>
        <v>0</v>
      </c>
      <c r="BA18" s="38" t="str">
        <f t="shared" si="3"/>
        <v>1</v>
      </c>
      <c r="BB18" s="38" t="str">
        <f t="shared" si="4"/>
        <v>0</v>
      </c>
      <c r="BC18" s="38">
        <f t="shared" si="5"/>
        <v>1</v>
      </c>
      <c r="BD18" s="38">
        <f t="shared" si="6"/>
        <v>0</v>
      </c>
      <c r="BL18" s="38" t="str">
        <f t="shared" si="7"/>
        <v/>
      </c>
      <c r="BM18" s="38" t="str">
        <f t="shared" si="8"/>
        <v>dBX</v>
      </c>
      <c r="BN18" s="38" t="str">
        <f t="shared" si="9"/>
        <v/>
      </c>
      <c r="BO18" s="38" t="str">
        <f t="shared" si="10"/>
        <v/>
      </c>
      <c r="BP18" s="38" t="str">
        <f t="shared" si="11"/>
        <v/>
      </c>
      <c r="BQ18" s="38" t="str">
        <f t="shared" si="12"/>
        <v>dBX</v>
      </c>
    </row>
    <row r="19" spans="1:69" ht="15.6" x14ac:dyDescent="0.3">
      <c r="A19" s="124" t="s">
        <v>265</v>
      </c>
      <c r="B19" s="397">
        <f>IF(ISBLANK(HLOOKUP($F$10,spelerslijsten!$B$1:$J$22,14,FALSE)),"",HLOOKUP($F$10,spelerslijsten!$B$1:$J$22,14,FALSE))</f>
        <v>8</v>
      </c>
      <c r="C19" s="398"/>
      <c r="D19" s="121"/>
      <c r="E19" s="122" t="str">
        <f>IF(ISBLANK(HLOOKUP($F$10,spelerslijsten!$B$1:$J$22,13,FALSE)),"",HLOOKUP($F$10,spelerslijsten!$B$1:$J$22,13,FALSE))</f>
        <v>Sara van Grinsven</v>
      </c>
      <c r="F19" s="12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08">
        <f t="shared" si="0"/>
        <v>0</v>
      </c>
      <c r="W19" s="109" t="str">
        <f t="shared" si="13"/>
        <v/>
      </c>
      <c r="X19" s="110" t="str">
        <f t="shared" si="14"/>
        <v/>
      </c>
      <c r="Y19" s="103" t="str">
        <f t="shared" si="15"/>
        <v/>
      </c>
      <c r="Z19" s="111"/>
      <c r="AA19" s="112"/>
      <c r="AB19" s="113" t="str">
        <f t="shared" si="16"/>
        <v>-</v>
      </c>
      <c r="AC19" s="112"/>
      <c r="AD19" s="114"/>
      <c r="AE19" s="115"/>
      <c r="AF19" s="115"/>
      <c r="AG19" s="116"/>
      <c r="AH19" s="117"/>
      <c r="AI19" s="117"/>
      <c r="AJ19" s="342"/>
      <c r="AK19" s="343"/>
      <c r="AL19" s="346"/>
      <c r="AM19" s="347"/>
      <c r="AN19" s="118"/>
      <c r="AO19" s="101" t="str">
        <f t="shared" si="19"/>
        <v/>
      </c>
      <c r="AP19" s="113" t="str">
        <f t="shared" si="20"/>
        <v>-</v>
      </c>
      <c r="AQ19" s="119"/>
      <c r="AR19" s="103" t="str">
        <f t="shared" si="21"/>
        <v/>
      </c>
      <c r="AT19" s="38" t="str">
        <f t="shared" si="17"/>
        <v>W8</v>
      </c>
      <c r="AU19" s="38">
        <f t="shared" si="18"/>
        <v>0</v>
      </c>
      <c r="AY19" s="38" t="str">
        <f t="shared" si="1"/>
        <v/>
      </c>
      <c r="AZ19" s="38" t="str">
        <f t="shared" si="2"/>
        <v>0</v>
      </c>
      <c r="BA19" s="38" t="str">
        <f t="shared" si="3"/>
        <v>0</v>
      </c>
      <c r="BB19" s="38" t="str">
        <f t="shared" si="4"/>
        <v>0</v>
      </c>
      <c r="BC19" s="38">
        <f t="shared" si="5"/>
        <v>0</v>
      </c>
      <c r="BD19" s="38">
        <f t="shared" si="6"/>
        <v>0</v>
      </c>
      <c r="BL19" s="38" t="str">
        <f t="shared" si="7"/>
        <v/>
      </c>
      <c r="BM19" s="38" t="str">
        <f t="shared" si="8"/>
        <v/>
      </c>
      <c r="BN19" s="38" t="str">
        <f t="shared" si="9"/>
        <v/>
      </c>
      <c r="BO19" s="38" t="str">
        <f t="shared" si="10"/>
        <v/>
      </c>
      <c r="BP19" s="38" t="str">
        <f t="shared" si="11"/>
        <v/>
      </c>
      <c r="BQ19" s="38" t="str">
        <f t="shared" si="12"/>
        <v/>
      </c>
    </row>
    <row r="20" spans="1:69" ht="15.6" x14ac:dyDescent="0.3">
      <c r="A20" s="124" t="s">
        <v>265</v>
      </c>
      <c r="B20" s="397">
        <f>IF(ISBLANK(HLOOKUP($F$10,spelerslijsten!$B$1:$J$22,16,FALSE)),"",HLOOKUP($F$10,spelerslijsten!$B$1:$J$22,16,FALSE))</f>
        <v>9</v>
      </c>
      <c r="C20" s="398"/>
      <c r="D20" s="121"/>
      <c r="E20" s="122" t="str">
        <f>IF(ISBLANK(HLOOKUP($F$10,spelerslijsten!$B$1:$J$22,15,FALSE)),"",HLOOKUP($F$10,spelerslijsten!$B$1:$J$22,15,FALSE))</f>
        <v>Robby van Gruythuysen</v>
      </c>
      <c r="F20" s="12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08">
        <f t="shared" si="0"/>
        <v>0</v>
      </c>
      <c r="W20" s="109" t="str">
        <f t="shared" si="13"/>
        <v/>
      </c>
      <c r="X20" s="110" t="str">
        <f t="shared" si="14"/>
        <v/>
      </c>
      <c r="Y20" s="103" t="str">
        <f t="shared" si="15"/>
        <v/>
      </c>
      <c r="Z20" s="111"/>
      <c r="AA20" s="112"/>
      <c r="AB20" s="113" t="str">
        <f t="shared" si="16"/>
        <v>-</v>
      </c>
      <c r="AC20" s="112"/>
      <c r="AD20" s="114"/>
      <c r="AE20" s="115"/>
      <c r="AF20" s="115"/>
      <c r="AG20" s="116"/>
      <c r="AH20" s="117"/>
      <c r="AI20" s="117"/>
      <c r="AJ20" s="342"/>
      <c r="AK20" s="343"/>
      <c r="AL20" s="346"/>
      <c r="AM20" s="347"/>
      <c r="AN20" s="118"/>
      <c r="AO20" s="101" t="str">
        <f t="shared" si="19"/>
        <v/>
      </c>
      <c r="AP20" s="113" t="str">
        <f t="shared" si="20"/>
        <v>-</v>
      </c>
      <c r="AQ20" s="119"/>
      <c r="AR20" s="103" t="str">
        <f t="shared" si="21"/>
        <v/>
      </c>
      <c r="AT20" s="38" t="str">
        <f t="shared" si="17"/>
        <v>W9</v>
      </c>
      <c r="AU20" s="38">
        <f t="shared" si="18"/>
        <v>0</v>
      </c>
      <c r="AY20" s="38" t="str">
        <f t="shared" si="1"/>
        <v/>
      </c>
      <c r="AZ20" s="38" t="str">
        <f t="shared" si="2"/>
        <v>0</v>
      </c>
      <c r="BA20" s="38" t="str">
        <f t="shared" si="3"/>
        <v>0</v>
      </c>
      <c r="BB20" s="38" t="str">
        <f t="shared" si="4"/>
        <v>0</v>
      </c>
      <c r="BC20" s="38">
        <f t="shared" si="5"/>
        <v>0</v>
      </c>
      <c r="BD20" s="38">
        <f t="shared" si="6"/>
        <v>0</v>
      </c>
      <c r="BL20" s="38" t="str">
        <f t="shared" si="7"/>
        <v/>
      </c>
      <c r="BM20" s="38" t="str">
        <f t="shared" si="8"/>
        <v/>
      </c>
      <c r="BN20" s="38" t="str">
        <f t="shared" si="9"/>
        <v/>
      </c>
      <c r="BO20" s="38" t="str">
        <f t="shared" si="10"/>
        <v/>
      </c>
      <c r="BP20" s="38" t="str">
        <f t="shared" si="11"/>
        <v/>
      </c>
      <c r="BQ20" s="38" t="str">
        <f t="shared" si="12"/>
        <v/>
      </c>
    </row>
    <row r="21" spans="1:69" ht="15.6" x14ac:dyDescent="0.3">
      <c r="A21" s="124"/>
      <c r="B21" s="397">
        <f>IF(ISBLANK(HLOOKUP($F$10,spelerslijsten!$B$1:$J$22,18,FALSE)),"",HLOOKUP($F$10,spelerslijsten!$B$1:$J$22,18,FALSE))</f>
        <v>10</v>
      </c>
      <c r="C21" s="398"/>
      <c r="D21" s="121"/>
      <c r="E21" s="122" t="str">
        <f>IF(ISBLANK(HLOOKUP($F$10,spelerslijsten!$B$1:$J$22,17,FALSE)),"",HLOOKUP($F$10,spelerslijsten!$B$1:$J$22,17,FALSE))</f>
        <v>Peter Schwering</v>
      </c>
      <c r="F21" s="12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08">
        <f>SUMIF($AY$13:$AY$46,AT21,$BC$13:$BC$46)</f>
        <v>0</v>
      </c>
      <c r="W21" s="109" t="str">
        <f t="shared" si="13"/>
        <v/>
      </c>
      <c r="X21" s="110" t="str">
        <f t="shared" si="14"/>
        <v/>
      </c>
      <c r="Y21" s="103" t="str">
        <f t="shared" si="15"/>
        <v/>
      </c>
      <c r="Z21" s="111"/>
      <c r="AA21" s="112"/>
      <c r="AB21" s="113" t="str">
        <f t="shared" si="16"/>
        <v>-</v>
      </c>
      <c r="AC21" s="112"/>
      <c r="AD21" s="114"/>
      <c r="AE21" s="115"/>
      <c r="AF21" s="115"/>
      <c r="AG21" s="116"/>
      <c r="AH21" s="117"/>
      <c r="AI21" s="117"/>
      <c r="AJ21" s="342"/>
      <c r="AK21" s="343"/>
      <c r="AL21" s="346"/>
      <c r="AM21" s="347"/>
      <c r="AN21" s="118"/>
      <c r="AO21" s="101" t="str">
        <f t="shared" si="19"/>
        <v/>
      </c>
      <c r="AP21" s="113" t="str">
        <f t="shared" si="20"/>
        <v>-</v>
      </c>
      <c r="AQ21" s="119"/>
      <c r="AR21" s="103" t="str">
        <f t="shared" si="21"/>
        <v/>
      </c>
      <c r="AT21" s="38" t="str">
        <f t="shared" si="17"/>
        <v>W10</v>
      </c>
      <c r="AU21" s="38">
        <f t="shared" si="18"/>
        <v>0</v>
      </c>
      <c r="AY21" s="38" t="str">
        <f t="shared" si="1"/>
        <v/>
      </c>
      <c r="AZ21" s="38" t="str">
        <f t="shared" si="2"/>
        <v>0</v>
      </c>
      <c r="BA21" s="38" t="str">
        <f t="shared" si="3"/>
        <v>0</v>
      </c>
      <c r="BB21" s="38" t="str">
        <f t="shared" si="4"/>
        <v>0</v>
      </c>
      <c r="BC21" s="38">
        <f t="shared" si="5"/>
        <v>0</v>
      </c>
      <c r="BD21" s="38">
        <f t="shared" si="6"/>
        <v>0</v>
      </c>
      <c r="BL21" s="38" t="str">
        <f t="shared" si="7"/>
        <v/>
      </c>
      <c r="BM21" s="38" t="str">
        <f t="shared" si="8"/>
        <v/>
      </c>
      <c r="BN21" s="38" t="str">
        <f t="shared" si="9"/>
        <v/>
      </c>
      <c r="BO21" s="38" t="str">
        <f t="shared" si="10"/>
        <v/>
      </c>
      <c r="BP21" s="38" t="str">
        <f t="shared" si="11"/>
        <v/>
      </c>
      <c r="BQ21" s="38" t="str">
        <f t="shared" si="12"/>
        <v/>
      </c>
    </row>
    <row r="22" spans="1:69" ht="15.6" x14ac:dyDescent="0.3">
      <c r="A22" s="124" t="s">
        <v>265</v>
      </c>
      <c r="B22" s="397">
        <f>IF(ISBLANK(HLOOKUP($F$10,spelerslijsten!$B$1:$J$22,20,FALSE)),"",HLOOKUP($F$10,spelerslijsten!$B$1:$J$22,20,FALSE))</f>
        <v>11</v>
      </c>
      <c r="C22" s="398"/>
      <c r="D22" s="121"/>
      <c r="E22" s="122" t="str">
        <f>IF(ISBLANK(HLOOKUP($F$10,spelerslijsten!$B$1:$J$22,19,FALSE)),"",HLOOKUP($F$10,spelerslijsten!$B$1:$J$22,19,FALSE))</f>
        <v>Stefan Hermens</v>
      </c>
      <c r="F22" s="12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08">
        <f t="shared" ref="V22:V23" si="22">SUMIF($AY$13:$AY$46,AT22,$BC$13:$BC$46)</f>
        <v>2</v>
      </c>
      <c r="W22" s="109" t="str">
        <f t="shared" si="13"/>
        <v/>
      </c>
      <c r="X22" s="110" t="str">
        <f t="shared" si="14"/>
        <v/>
      </c>
      <c r="Y22" s="103" t="str">
        <f t="shared" si="15"/>
        <v/>
      </c>
      <c r="Z22" s="111"/>
      <c r="AA22" s="112"/>
      <c r="AB22" s="113" t="str">
        <f t="shared" si="16"/>
        <v>-</v>
      </c>
      <c r="AC22" s="112"/>
      <c r="AD22" s="114"/>
      <c r="AE22" s="115"/>
      <c r="AF22" s="115"/>
      <c r="AG22" s="116"/>
      <c r="AH22" s="117"/>
      <c r="AI22" s="117"/>
      <c r="AJ22" s="342"/>
      <c r="AK22" s="343"/>
      <c r="AL22" s="346"/>
      <c r="AM22" s="347"/>
      <c r="AN22" s="118"/>
      <c r="AO22" s="101" t="str">
        <f t="shared" si="19"/>
        <v/>
      </c>
      <c r="AP22" s="113" t="str">
        <f t="shared" si="20"/>
        <v>-</v>
      </c>
      <c r="AQ22" s="119"/>
      <c r="AR22" s="103" t="str">
        <f t="shared" si="21"/>
        <v/>
      </c>
      <c r="AT22" s="38" t="str">
        <f t="shared" si="17"/>
        <v>W11</v>
      </c>
      <c r="AU22" s="38">
        <f t="shared" si="18"/>
        <v>0</v>
      </c>
      <c r="AY22" s="38" t="str">
        <f t="shared" si="1"/>
        <v/>
      </c>
      <c r="AZ22" s="38" t="str">
        <f t="shared" si="2"/>
        <v>0</v>
      </c>
      <c r="BA22" s="38" t="str">
        <f t="shared" si="3"/>
        <v>0</v>
      </c>
      <c r="BB22" s="38" t="str">
        <f t="shared" si="4"/>
        <v>0</v>
      </c>
      <c r="BC22" s="38">
        <f t="shared" si="5"/>
        <v>0</v>
      </c>
      <c r="BD22" s="38">
        <f t="shared" si="6"/>
        <v>0</v>
      </c>
      <c r="BL22" s="38" t="str">
        <f t="shared" si="7"/>
        <v/>
      </c>
      <c r="BM22" s="38" t="str">
        <f t="shared" si="8"/>
        <v/>
      </c>
      <c r="BN22" s="38" t="str">
        <f t="shared" si="9"/>
        <v/>
      </c>
      <c r="BO22" s="38" t="str">
        <f t="shared" si="10"/>
        <v/>
      </c>
      <c r="BP22" s="38" t="str">
        <f t="shared" si="11"/>
        <v/>
      </c>
      <c r="BQ22" s="38" t="str">
        <f t="shared" si="12"/>
        <v/>
      </c>
    </row>
    <row r="23" spans="1:69" ht="15.6" x14ac:dyDescent="0.3">
      <c r="A23" s="125"/>
      <c r="B23" s="397" t="str">
        <f>IF(ISBLANK(HLOOKUP($F$10,spelerslijsten!$B$1:$J$22,22,FALSE)),"",HLOOKUP($F$10,spelerslijsten!$B$1:$J$22,22,FALSE))</f>
        <v/>
      </c>
      <c r="C23" s="398"/>
      <c r="D23" s="126"/>
      <c r="E23" s="259" t="str">
        <f>IF(ISBLANK(HLOOKUP($F$10,spelerslijsten!$B$1:$J$22,21,FALSE)),"",HLOOKUP($F$10,spelerslijsten!$B$1:$J$22,21,FALSE))</f>
        <v/>
      </c>
      <c r="F23" s="126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08">
        <f t="shared" si="22"/>
        <v>0</v>
      </c>
      <c r="W23" s="109" t="str">
        <f t="shared" si="13"/>
        <v/>
      </c>
      <c r="X23" s="110" t="str">
        <f t="shared" si="14"/>
        <v/>
      </c>
      <c r="Y23" s="103" t="str">
        <f t="shared" si="15"/>
        <v/>
      </c>
      <c r="Z23" s="111"/>
      <c r="AA23" s="112"/>
      <c r="AB23" s="113" t="str">
        <f t="shared" si="16"/>
        <v>-</v>
      </c>
      <c r="AC23" s="112"/>
      <c r="AD23" s="114"/>
      <c r="AE23" s="115"/>
      <c r="AF23" s="115"/>
      <c r="AG23" s="116"/>
      <c r="AH23" s="117"/>
      <c r="AI23" s="117"/>
      <c r="AJ23" s="342"/>
      <c r="AK23" s="343"/>
      <c r="AL23" s="346"/>
      <c r="AM23" s="347"/>
      <c r="AN23" s="118"/>
      <c r="AO23" s="101" t="str">
        <f t="shared" si="19"/>
        <v/>
      </c>
      <c r="AP23" s="113" t="str">
        <f t="shared" si="20"/>
        <v>-</v>
      </c>
      <c r="AQ23" s="119"/>
      <c r="AR23" s="103" t="str">
        <f t="shared" si="21"/>
        <v/>
      </c>
      <c r="AT23" s="38" t="str">
        <f t="shared" si="17"/>
        <v>W</v>
      </c>
      <c r="AU23" s="38">
        <f t="shared" si="18"/>
        <v>0</v>
      </c>
      <c r="AY23" s="38" t="str">
        <f t="shared" si="1"/>
        <v/>
      </c>
      <c r="AZ23" s="38" t="str">
        <f t="shared" si="2"/>
        <v>0</v>
      </c>
      <c r="BA23" s="38" t="str">
        <f t="shared" si="3"/>
        <v>0</v>
      </c>
      <c r="BB23" s="38" t="str">
        <f t="shared" si="4"/>
        <v>0</v>
      </c>
      <c r="BC23" s="38">
        <f t="shared" si="5"/>
        <v>0</v>
      </c>
      <c r="BD23" s="38">
        <f t="shared" si="6"/>
        <v>0</v>
      </c>
      <c r="BL23" s="38" t="str">
        <f t="shared" si="7"/>
        <v/>
      </c>
      <c r="BM23" s="38" t="str">
        <f t="shared" si="8"/>
        <v/>
      </c>
      <c r="BN23" s="38" t="str">
        <f t="shared" si="9"/>
        <v/>
      </c>
      <c r="BO23" s="38" t="str">
        <f t="shared" si="10"/>
        <v/>
      </c>
      <c r="BP23" s="38" t="str">
        <f t="shared" si="11"/>
        <v/>
      </c>
      <c r="BQ23" s="38" t="str">
        <f t="shared" si="12"/>
        <v/>
      </c>
    </row>
    <row r="24" spans="1:69" ht="16.2" thickBot="1" x14ac:dyDescent="0.35">
      <c r="A24" s="71" t="s">
        <v>67</v>
      </c>
      <c r="B24" s="72"/>
      <c r="C24" s="72"/>
      <c r="D24" s="72"/>
      <c r="E24" s="72"/>
      <c r="F24" s="72"/>
      <c r="G24" s="72"/>
      <c r="I24" s="399">
        <f>HLOOKUP(F10,spelerslijsten!B1:J25,25,FALSE)</f>
        <v>5</v>
      </c>
      <c r="J24" s="400"/>
      <c r="K24" s="74" t="s">
        <v>23</v>
      </c>
      <c r="L24" s="72"/>
      <c r="M24" s="72"/>
      <c r="N24" s="129" t="str">
        <f>HLOOKUP(F10,spelerslijsten!B1:J25,23,FALSE)</f>
        <v>Luuk Muskens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30"/>
      <c r="Z24" s="131"/>
      <c r="AA24" s="132"/>
      <c r="AB24" s="133" t="str">
        <f t="shared" si="16"/>
        <v>-</v>
      </c>
      <c r="AC24" s="132"/>
      <c r="AD24" s="134"/>
      <c r="AE24" s="135"/>
      <c r="AF24" s="135"/>
      <c r="AG24" s="136"/>
      <c r="AH24" s="137"/>
      <c r="AI24" s="137"/>
      <c r="AJ24" s="342"/>
      <c r="AK24" s="343"/>
      <c r="AL24" s="350"/>
      <c r="AM24" s="351"/>
      <c r="AN24" s="138"/>
      <c r="AO24" s="101" t="str">
        <f t="shared" si="19"/>
        <v/>
      </c>
      <c r="AP24" s="113" t="str">
        <f t="shared" si="20"/>
        <v>-</v>
      </c>
      <c r="AQ24" s="119"/>
      <c r="AR24" s="103" t="str">
        <f t="shared" si="21"/>
        <v/>
      </c>
      <c r="AY24" s="38" t="str">
        <f t="shared" si="1"/>
        <v/>
      </c>
      <c r="AZ24" s="38" t="str">
        <f t="shared" si="2"/>
        <v>0</v>
      </c>
      <c r="BA24" s="38" t="str">
        <f t="shared" si="3"/>
        <v>0</v>
      </c>
      <c r="BB24" s="38" t="str">
        <f t="shared" si="4"/>
        <v>0</v>
      </c>
      <c r="BC24" s="38">
        <f t="shared" si="5"/>
        <v>0</v>
      </c>
      <c r="BD24" s="38">
        <f t="shared" si="6"/>
        <v>0</v>
      </c>
      <c r="BL24" s="38" t="str">
        <f t="shared" si="7"/>
        <v/>
      </c>
      <c r="BM24" s="38" t="str">
        <f t="shared" si="8"/>
        <v/>
      </c>
      <c r="BN24" s="38" t="str">
        <f t="shared" si="9"/>
        <v/>
      </c>
      <c r="BO24" s="38" t="str">
        <f t="shared" si="10"/>
        <v/>
      </c>
      <c r="BP24" s="38" t="str">
        <f t="shared" si="11"/>
        <v/>
      </c>
      <c r="BQ24" s="38" t="str">
        <f t="shared" si="12"/>
        <v/>
      </c>
    </row>
    <row r="25" spans="1:69" ht="15" customHeight="1" x14ac:dyDescent="0.3">
      <c r="A25" s="78" t="s">
        <v>60</v>
      </c>
      <c r="B25" s="79"/>
      <c r="C25" s="79"/>
      <c r="D25" s="79"/>
      <c r="E25" s="79"/>
      <c r="F25" s="356" t="str">
        <f>+AC7</f>
        <v>Gesposs Blauw</v>
      </c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7"/>
      <c r="Z25" s="139"/>
      <c r="AA25" s="140"/>
      <c r="AB25" s="141" t="str">
        <f t="shared" si="16"/>
        <v>-</v>
      </c>
      <c r="AC25" s="140"/>
      <c r="AD25" s="142"/>
      <c r="AE25" s="143"/>
      <c r="AF25" s="143"/>
      <c r="AG25" s="144"/>
      <c r="AH25" s="145"/>
      <c r="AI25" s="145"/>
      <c r="AJ25" s="342"/>
      <c r="AK25" s="343"/>
      <c r="AL25" s="346"/>
      <c r="AM25" s="347"/>
      <c r="AN25" s="146"/>
      <c r="AO25" s="101" t="str">
        <f t="shared" si="19"/>
        <v/>
      </c>
      <c r="AP25" s="113" t="str">
        <f t="shared" si="20"/>
        <v>-</v>
      </c>
      <c r="AQ25" s="119"/>
      <c r="AR25" s="103" t="str">
        <f t="shared" si="21"/>
        <v/>
      </c>
      <c r="AY25" s="38" t="str">
        <f t="shared" si="1"/>
        <v/>
      </c>
      <c r="AZ25" s="38" t="str">
        <f t="shared" si="2"/>
        <v>0</v>
      </c>
      <c r="BA25" s="38" t="str">
        <f t="shared" si="3"/>
        <v>0</v>
      </c>
      <c r="BB25" s="38" t="str">
        <f t="shared" si="4"/>
        <v>0</v>
      </c>
      <c r="BC25" s="38">
        <f t="shared" si="5"/>
        <v>0</v>
      </c>
      <c r="BD25" s="38">
        <f t="shared" si="6"/>
        <v>0</v>
      </c>
      <c r="BL25" s="38" t="str">
        <f t="shared" si="7"/>
        <v/>
      </c>
      <c r="BM25" s="38" t="str">
        <f t="shared" si="8"/>
        <v/>
      </c>
      <c r="BN25" s="38" t="str">
        <f t="shared" si="9"/>
        <v/>
      </c>
      <c r="BO25" s="38" t="str">
        <f t="shared" si="10"/>
        <v/>
      </c>
      <c r="BP25" s="38" t="str">
        <f t="shared" si="11"/>
        <v/>
      </c>
      <c r="BQ25" s="38" t="str">
        <f t="shared" si="12"/>
        <v/>
      </c>
    </row>
    <row r="26" spans="1:69" ht="15" customHeight="1" x14ac:dyDescent="0.3">
      <c r="A26" s="393" t="s">
        <v>24</v>
      </c>
      <c r="B26" s="394"/>
      <c r="C26" s="394"/>
      <c r="D26" s="394"/>
      <c r="E26" s="81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9"/>
      <c r="Z26" s="139"/>
      <c r="AA26" s="140"/>
      <c r="AB26" s="141" t="s">
        <v>16</v>
      </c>
      <c r="AC26" s="140"/>
      <c r="AD26" s="142"/>
      <c r="AE26" s="143"/>
      <c r="AF26" s="143"/>
      <c r="AG26" s="144"/>
      <c r="AH26" s="145"/>
      <c r="AI26" s="145"/>
      <c r="AJ26" s="342"/>
      <c r="AK26" s="343"/>
      <c r="AL26" s="346"/>
      <c r="AM26" s="347"/>
      <c r="AN26" s="146"/>
      <c r="AO26" s="101" t="str">
        <f t="shared" si="19"/>
        <v/>
      </c>
      <c r="AP26" s="113" t="str">
        <f t="shared" si="20"/>
        <v>-</v>
      </c>
      <c r="AQ26" s="119"/>
      <c r="AR26" s="103" t="str">
        <f t="shared" si="21"/>
        <v/>
      </c>
      <c r="AY26" s="38" t="str">
        <f t="shared" si="1"/>
        <v/>
      </c>
      <c r="AZ26" s="38" t="str">
        <f t="shared" si="2"/>
        <v>0</v>
      </c>
      <c r="BA26" s="38" t="str">
        <f t="shared" si="3"/>
        <v>0</v>
      </c>
      <c r="BB26" s="38" t="str">
        <f t="shared" si="4"/>
        <v>0</v>
      </c>
      <c r="BC26" s="38">
        <f t="shared" si="5"/>
        <v>0</v>
      </c>
      <c r="BD26" s="38">
        <f t="shared" si="6"/>
        <v>0</v>
      </c>
      <c r="BL26" s="38" t="str">
        <f t="shared" si="7"/>
        <v/>
      </c>
      <c r="BM26" s="38" t="str">
        <f t="shared" si="8"/>
        <v/>
      </c>
      <c r="BN26" s="38" t="str">
        <f t="shared" si="9"/>
        <v/>
      </c>
      <c r="BO26" s="38" t="str">
        <f t="shared" si="10"/>
        <v/>
      </c>
      <c r="BP26" s="38" t="str">
        <f t="shared" si="11"/>
        <v/>
      </c>
      <c r="BQ26" s="38" t="str">
        <f t="shared" si="12"/>
        <v/>
      </c>
    </row>
    <row r="27" spans="1:69" ht="15.6" x14ac:dyDescent="0.3">
      <c r="A27" s="393"/>
      <c r="B27" s="394"/>
      <c r="C27" s="394"/>
      <c r="D27" s="394"/>
      <c r="E27" s="81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9"/>
      <c r="Z27" s="139"/>
      <c r="AA27" s="140"/>
      <c r="AB27" s="141" t="s">
        <v>16</v>
      </c>
      <c r="AC27" s="140"/>
      <c r="AD27" s="142"/>
      <c r="AE27" s="143"/>
      <c r="AF27" s="143"/>
      <c r="AG27" s="144"/>
      <c r="AH27" s="145"/>
      <c r="AI27" s="145"/>
      <c r="AJ27" s="342"/>
      <c r="AK27" s="343"/>
      <c r="AL27" s="346"/>
      <c r="AM27" s="347"/>
      <c r="AN27" s="146"/>
      <c r="AO27" s="101" t="str">
        <f t="shared" si="19"/>
        <v/>
      </c>
      <c r="AP27" s="113" t="str">
        <f t="shared" si="20"/>
        <v>-</v>
      </c>
      <c r="AQ27" s="119"/>
      <c r="AR27" s="103" t="str">
        <f t="shared" si="21"/>
        <v/>
      </c>
      <c r="AY27" s="38" t="str">
        <f t="shared" si="1"/>
        <v/>
      </c>
      <c r="AZ27" s="38" t="str">
        <f t="shared" si="2"/>
        <v>0</v>
      </c>
      <c r="BA27" s="38" t="str">
        <f t="shared" si="3"/>
        <v>0</v>
      </c>
      <c r="BB27" s="38" t="str">
        <f t="shared" si="4"/>
        <v>0</v>
      </c>
      <c r="BC27" s="38">
        <f t="shared" si="5"/>
        <v>0</v>
      </c>
      <c r="BD27" s="38">
        <f t="shared" si="6"/>
        <v>0</v>
      </c>
      <c r="BL27" s="38" t="str">
        <f t="shared" si="7"/>
        <v/>
      </c>
      <c r="BM27" s="38" t="str">
        <f t="shared" si="8"/>
        <v/>
      </c>
      <c r="BN27" s="38" t="str">
        <f t="shared" si="9"/>
        <v/>
      </c>
      <c r="BO27" s="38" t="str">
        <f t="shared" si="10"/>
        <v/>
      </c>
      <c r="BP27" s="38" t="str">
        <f t="shared" si="11"/>
        <v/>
      </c>
      <c r="BQ27" s="38" t="str">
        <f t="shared" si="12"/>
        <v/>
      </c>
    </row>
    <row r="28" spans="1:69" ht="15.6" x14ac:dyDescent="0.3">
      <c r="A28" s="395"/>
      <c r="B28" s="396"/>
      <c r="C28" s="396"/>
      <c r="D28" s="396"/>
      <c r="E28" s="81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1"/>
      <c r="Z28" s="147"/>
      <c r="AA28" s="140"/>
      <c r="AB28" s="148" t="str">
        <f>+AB25</f>
        <v>-</v>
      </c>
      <c r="AC28" s="140"/>
      <c r="AD28" s="142"/>
      <c r="AE28" s="143"/>
      <c r="AF28" s="143"/>
      <c r="AG28" s="144"/>
      <c r="AH28" s="145"/>
      <c r="AI28" s="145"/>
      <c r="AJ28" s="342"/>
      <c r="AK28" s="343"/>
      <c r="AL28" s="346"/>
      <c r="AM28" s="347"/>
      <c r="AN28" s="146"/>
      <c r="AO28" s="101" t="str">
        <f t="shared" si="19"/>
        <v/>
      </c>
      <c r="AP28" s="113" t="str">
        <f t="shared" si="20"/>
        <v>-</v>
      </c>
      <c r="AQ28" s="119"/>
      <c r="AR28" s="103" t="str">
        <f t="shared" si="21"/>
        <v/>
      </c>
      <c r="AY28" s="38" t="str">
        <f t="shared" si="1"/>
        <v/>
      </c>
      <c r="AZ28" s="38" t="str">
        <f t="shared" si="2"/>
        <v>0</v>
      </c>
      <c r="BA28" s="38" t="str">
        <f t="shared" si="3"/>
        <v>0</v>
      </c>
      <c r="BB28" s="38" t="str">
        <f t="shared" si="4"/>
        <v>0</v>
      </c>
      <c r="BC28" s="38">
        <f t="shared" si="5"/>
        <v>0</v>
      </c>
      <c r="BD28" s="38">
        <f t="shared" si="6"/>
        <v>0</v>
      </c>
      <c r="BL28" s="38" t="str">
        <f t="shared" si="7"/>
        <v/>
      </c>
      <c r="BM28" s="38" t="str">
        <f t="shared" si="8"/>
        <v/>
      </c>
      <c r="BN28" s="38" t="str">
        <f t="shared" si="9"/>
        <v/>
      </c>
      <c r="BO28" s="38" t="str">
        <f t="shared" si="10"/>
        <v/>
      </c>
      <c r="BP28" s="38" t="str">
        <f t="shared" si="11"/>
        <v/>
      </c>
      <c r="BQ28" s="38" t="str">
        <f t="shared" si="12"/>
        <v/>
      </c>
    </row>
    <row r="29" spans="1:69" ht="15.6" x14ac:dyDescent="0.3">
      <c r="A29" s="86" t="s">
        <v>0</v>
      </c>
      <c r="B29" s="87" t="s">
        <v>1</v>
      </c>
      <c r="C29" s="64"/>
      <c r="D29" s="89"/>
      <c r="E29" s="88" t="s">
        <v>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90"/>
      <c r="V29" s="91" t="s">
        <v>3</v>
      </c>
      <c r="W29" s="91" t="s">
        <v>4</v>
      </c>
      <c r="X29" s="91" t="s">
        <v>5</v>
      </c>
      <c r="Y29" s="92" t="s">
        <v>6</v>
      </c>
      <c r="Z29" s="111"/>
      <c r="AA29" s="149"/>
      <c r="AB29" s="150" t="str">
        <f t="shared" si="16"/>
        <v>-</v>
      </c>
      <c r="AC29" s="149"/>
      <c r="AD29" s="151"/>
      <c r="AE29" s="152"/>
      <c r="AF29" s="152"/>
      <c r="AG29" s="153"/>
      <c r="AH29" s="154"/>
      <c r="AI29" s="154"/>
      <c r="AJ29" s="342"/>
      <c r="AK29" s="343"/>
      <c r="AL29" s="348"/>
      <c r="AM29" s="349"/>
      <c r="AN29" s="155"/>
      <c r="AO29" s="101" t="str">
        <f t="shared" si="19"/>
        <v/>
      </c>
      <c r="AP29" s="113" t="str">
        <f t="shared" si="20"/>
        <v>-</v>
      </c>
      <c r="AQ29" s="119"/>
      <c r="AR29" s="103" t="str">
        <f t="shared" si="21"/>
        <v/>
      </c>
      <c r="AY29" s="38" t="str">
        <f t="shared" si="1"/>
        <v/>
      </c>
      <c r="AZ29" s="38" t="str">
        <f t="shared" si="2"/>
        <v>0</v>
      </c>
      <c r="BA29" s="38" t="str">
        <f t="shared" si="3"/>
        <v>0</v>
      </c>
      <c r="BB29" s="38" t="str">
        <f t="shared" si="4"/>
        <v>0</v>
      </c>
      <c r="BC29" s="38">
        <f t="shared" si="5"/>
        <v>0</v>
      </c>
      <c r="BD29" s="38">
        <f t="shared" si="6"/>
        <v>0</v>
      </c>
      <c r="BL29" s="38" t="str">
        <f t="shared" si="7"/>
        <v/>
      </c>
      <c r="BM29" s="38" t="str">
        <f t="shared" si="8"/>
        <v/>
      </c>
      <c r="BN29" s="38" t="str">
        <f t="shared" si="9"/>
        <v/>
      </c>
      <c r="BO29" s="38" t="str">
        <f t="shared" si="10"/>
        <v/>
      </c>
      <c r="BP29" s="38" t="str">
        <f t="shared" si="11"/>
        <v/>
      </c>
      <c r="BQ29" s="38" t="str">
        <f t="shared" si="12"/>
        <v/>
      </c>
    </row>
    <row r="30" spans="1:69" ht="15.6" x14ac:dyDescent="0.3">
      <c r="A30" s="104" t="s">
        <v>265</v>
      </c>
      <c r="B30" s="397">
        <f>IF(ISBLANK(HLOOKUP($F$25,spelerslijsten!$B$1:$J$22,4,FALSE)),"",HLOOKUP($F$25,spelerslijsten!$B$1:$J$22,4,FALSE))</f>
        <v>2</v>
      </c>
      <c r="C30" s="398"/>
      <c r="D30" s="105"/>
      <c r="E30" s="106" t="str">
        <f>IF(ISBLANK(HLOOKUP($F$25,spelerslijsten!$B$1:$J$22,3,FALSE)),"",HLOOKUP($F$25,spelerslijsten!$B$1:$J$22,3,FALSE))</f>
        <v>Jack Steeghs</v>
      </c>
      <c r="F30" s="105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8">
        <f t="shared" ref="V30:V39" si="23">SUMIF($AY$13:$AY$46,AT30,$BC$13:$BC$46)</f>
        <v>0</v>
      </c>
      <c r="W30" s="109" t="str">
        <f>IF(AU30&gt;0,"x","")</f>
        <v/>
      </c>
      <c r="X30" s="110" t="str">
        <f>IF(AU30&gt;1,"x","")</f>
        <v/>
      </c>
      <c r="Y30" s="103" t="str">
        <f>IF(AU30&gt;2,"x","")</f>
        <v/>
      </c>
      <c r="Z30" s="111"/>
      <c r="AA30" s="112"/>
      <c r="AB30" s="113" t="str">
        <f t="shared" si="16"/>
        <v>-</v>
      </c>
      <c r="AC30" s="112"/>
      <c r="AD30" s="114"/>
      <c r="AE30" s="115"/>
      <c r="AF30" s="115"/>
      <c r="AG30" s="116"/>
      <c r="AH30" s="117"/>
      <c r="AI30" s="117"/>
      <c r="AJ30" s="342"/>
      <c r="AK30" s="343"/>
      <c r="AL30" s="346"/>
      <c r="AM30" s="347"/>
      <c r="AN30" s="118"/>
      <c r="AO30" s="101" t="str">
        <f t="shared" si="19"/>
        <v/>
      </c>
      <c r="AP30" s="113" t="str">
        <f t="shared" si="20"/>
        <v>-</v>
      </c>
      <c r="AQ30" s="119"/>
      <c r="AR30" s="103" t="str">
        <f t="shared" si="21"/>
        <v/>
      </c>
      <c r="AT30" s="38" t="str">
        <f>CONCATENATE($AV$11&amp;B30)</f>
        <v>B2</v>
      </c>
      <c r="AU30" s="38">
        <f t="shared" si="18"/>
        <v>0</v>
      </c>
      <c r="AY30" s="38" t="str">
        <f t="shared" si="1"/>
        <v/>
      </c>
      <c r="AZ30" s="38" t="str">
        <f t="shared" si="2"/>
        <v>0</v>
      </c>
      <c r="BA30" s="38" t="str">
        <f t="shared" si="3"/>
        <v>0</v>
      </c>
      <c r="BB30" s="38" t="str">
        <f t="shared" si="4"/>
        <v>0</v>
      </c>
      <c r="BC30" s="38">
        <f t="shared" si="5"/>
        <v>0</v>
      </c>
      <c r="BD30" s="38">
        <f t="shared" si="6"/>
        <v>0</v>
      </c>
      <c r="BL30" s="38" t="str">
        <f t="shared" si="7"/>
        <v/>
      </c>
      <c r="BM30" s="38" t="str">
        <f t="shared" si="8"/>
        <v/>
      </c>
      <c r="BN30" s="38" t="str">
        <f t="shared" si="9"/>
        <v/>
      </c>
      <c r="BO30" s="38" t="str">
        <f t="shared" si="10"/>
        <v/>
      </c>
      <c r="BP30" s="38" t="str">
        <f t="shared" si="11"/>
        <v/>
      </c>
      <c r="BQ30" s="38" t="str">
        <f t="shared" si="12"/>
        <v/>
      </c>
    </row>
    <row r="31" spans="1:69" ht="15.6" x14ac:dyDescent="0.3">
      <c r="A31" s="120" t="s">
        <v>265</v>
      </c>
      <c r="B31" s="397">
        <f>IF(ISBLANK(HLOOKUP($F$25,spelerslijsten!$B$1:$J$22,6,FALSE)),"",HLOOKUP($F$25,spelerslijsten!$B$1:$J$22,6,FALSE))</f>
        <v>3</v>
      </c>
      <c r="C31" s="398"/>
      <c r="D31" s="121"/>
      <c r="E31" s="106" t="str">
        <f>IF(ISBLANK(HLOOKUP($F$25,spelerslijsten!$B$1:$J$22,5,FALSE)),"",HLOOKUP($F$25,spelerslijsten!$B$1:$J$22,5,FALSE))</f>
        <v>Niels Venterink</v>
      </c>
      <c r="F31" s="12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08">
        <f t="shared" si="23"/>
        <v>0</v>
      </c>
      <c r="W31" s="109" t="str">
        <f t="shared" ref="W31:W39" si="24">IF(AU31&gt;0,"x","")</f>
        <v/>
      </c>
      <c r="X31" s="110" t="str">
        <f t="shared" ref="X31:X39" si="25">IF(AU31&gt;1,"x","")</f>
        <v/>
      </c>
      <c r="Y31" s="103" t="str">
        <f t="shared" ref="Y31:Y39" si="26">IF(AU31&gt;2,"x","")</f>
        <v/>
      </c>
      <c r="Z31" s="111"/>
      <c r="AA31" s="112"/>
      <c r="AB31" s="113" t="str">
        <f t="shared" si="16"/>
        <v>-</v>
      </c>
      <c r="AC31" s="112"/>
      <c r="AD31" s="114"/>
      <c r="AE31" s="115"/>
      <c r="AF31" s="115"/>
      <c r="AG31" s="116"/>
      <c r="AH31" s="117"/>
      <c r="AI31" s="117"/>
      <c r="AJ31" s="342"/>
      <c r="AK31" s="343"/>
      <c r="AL31" s="346"/>
      <c r="AM31" s="347"/>
      <c r="AN31" s="118"/>
      <c r="AO31" s="101" t="str">
        <f t="shared" si="19"/>
        <v/>
      </c>
      <c r="AP31" s="113" t="str">
        <f t="shared" si="20"/>
        <v>-</v>
      </c>
      <c r="AQ31" s="119"/>
      <c r="AR31" s="103" t="str">
        <f t="shared" si="21"/>
        <v/>
      </c>
      <c r="AT31" s="38" t="str">
        <f t="shared" ref="AT31:AT39" si="27">CONCATENATE($AV$11&amp;B31)</f>
        <v>B3</v>
      </c>
      <c r="AU31" s="38">
        <f t="shared" si="18"/>
        <v>0</v>
      </c>
      <c r="AY31" s="38" t="str">
        <f t="shared" si="1"/>
        <v/>
      </c>
      <c r="AZ31" s="38" t="str">
        <f t="shared" si="2"/>
        <v>0</v>
      </c>
      <c r="BA31" s="38" t="str">
        <f t="shared" si="3"/>
        <v>0</v>
      </c>
      <c r="BB31" s="38" t="str">
        <f t="shared" si="4"/>
        <v>0</v>
      </c>
      <c r="BC31" s="38">
        <f t="shared" si="5"/>
        <v>0</v>
      </c>
      <c r="BD31" s="38">
        <f t="shared" si="6"/>
        <v>0</v>
      </c>
      <c r="BL31" s="38" t="str">
        <f t="shared" si="7"/>
        <v/>
      </c>
      <c r="BM31" s="38" t="str">
        <f t="shared" si="8"/>
        <v/>
      </c>
      <c r="BN31" s="38" t="str">
        <f t="shared" si="9"/>
        <v/>
      </c>
      <c r="BO31" s="38" t="str">
        <f t="shared" si="10"/>
        <v/>
      </c>
      <c r="BP31" s="38" t="str">
        <f t="shared" si="11"/>
        <v/>
      </c>
      <c r="BQ31" s="38" t="str">
        <f t="shared" si="12"/>
        <v/>
      </c>
    </row>
    <row r="32" spans="1:69" ht="15.6" x14ac:dyDescent="0.3">
      <c r="A32" s="124"/>
      <c r="B32" s="397">
        <f>IF(ISBLANK(HLOOKUP($F$25,spelerslijsten!$B$1:$J$22,8,FALSE)),"",HLOOKUP($F$25,spelerslijsten!$B$1:$J$22,8,FALSE))</f>
        <v>4</v>
      </c>
      <c r="C32" s="398"/>
      <c r="D32" s="121"/>
      <c r="E32" s="106" t="str">
        <f>IF(ISBLANK(HLOOKUP($F$25,spelerslijsten!$B$1:$J$22,7,FALSE)),"",HLOOKUP($F$25,spelerslijsten!$B$1:$J$22,7,FALSE))</f>
        <v>Wendy Kuysters</v>
      </c>
      <c r="F32" s="12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08">
        <f t="shared" si="23"/>
        <v>0</v>
      </c>
      <c r="W32" s="109" t="str">
        <f t="shared" si="24"/>
        <v/>
      </c>
      <c r="X32" s="110" t="str">
        <f t="shared" si="25"/>
        <v/>
      </c>
      <c r="Y32" s="103" t="str">
        <f t="shared" si="26"/>
        <v/>
      </c>
      <c r="Z32" s="111"/>
      <c r="AA32" s="112"/>
      <c r="AB32" s="113" t="str">
        <f t="shared" si="16"/>
        <v>-</v>
      </c>
      <c r="AC32" s="112"/>
      <c r="AD32" s="114"/>
      <c r="AE32" s="115"/>
      <c r="AF32" s="115"/>
      <c r="AG32" s="116"/>
      <c r="AH32" s="117"/>
      <c r="AI32" s="117"/>
      <c r="AJ32" s="342"/>
      <c r="AK32" s="343"/>
      <c r="AL32" s="346"/>
      <c r="AM32" s="347"/>
      <c r="AN32" s="118"/>
      <c r="AO32" s="101" t="str">
        <f t="shared" si="19"/>
        <v/>
      </c>
      <c r="AP32" s="113" t="str">
        <f t="shared" si="20"/>
        <v>-</v>
      </c>
      <c r="AQ32" s="119"/>
      <c r="AR32" s="103" t="str">
        <f t="shared" si="21"/>
        <v/>
      </c>
      <c r="AT32" s="38" t="str">
        <f t="shared" si="27"/>
        <v>B4</v>
      </c>
      <c r="AU32" s="38">
        <f t="shared" si="18"/>
        <v>0</v>
      </c>
      <c r="AY32" s="38" t="str">
        <f t="shared" si="1"/>
        <v/>
      </c>
      <c r="AZ32" s="38" t="str">
        <f t="shared" si="2"/>
        <v>0</v>
      </c>
      <c r="BA32" s="38" t="str">
        <f t="shared" si="3"/>
        <v>0</v>
      </c>
      <c r="BB32" s="38" t="str">
        <f t="shared" si="4"/>
        <v>0</v>
      </c>
      <c r="BC32" s="38">
        <f t="shared" si="5"/>
        <v>0</v>
      </c>
      <c r="BD32" s="38">
        <f t="shared" si="6"/>
        <v>0</v>
      </c>
      <c r="BL32" s="38" t="str">
        <f t="shared" si="7"/>
        <v/>
      </c>
      <c r="BM32" s="38" t="str">
        <f t="shared" si="8"/>
        <v/>
      </c>
      <c r="BN32" s="38" t="str">
        <f t="shared" si="9"/>
        <v/>
      </c>
      <c r="BO32" s="38" t="str">
        <f t="shared" si="10"/>
        <v/>
      </c>
      <c r="BP32" s="38" t="str">
        <f t="shared" si="11"/>
        <v/>
      </c>
      <c r="BQ32" s="38" t="str">
        <f t="shared" si="12"/>
        <v/>
      </c>
    </row>
    <row r="33" spans="1:69" ht="15.6" x14ac:dyDescent="0.3">
      <c r="A33" s="124" t="s">
        <v>265</v>
      </c>
      <c r="B33" s="397">
        <f>IF(ISBLANK(HLOOKUP($F$25,spelerslijsten!$B$1:$J$22,10,FALSE)),"",HLOOKUP($F$25,spelerslijsten!$B$1:$J$22,10,FALSE))</f>
        <v>6</v>
      </c>
      <c r="C33" s="398"/>
      <c r="D33" s="121"/>
      <c r="E33" s="106" t="str">
        <f>IF(ISBLANK(HLOOKUP($F$25,spelerslijsten!$B$1:$J$22,9,FALSE)),"",HLOOKUP($F$25,spelerslijsten!$B$1:$J$22,9,FALSE))</f>
        <v>Kristel Henst</v>
      </c>
      <c r="F33" s="12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08">
        <f t="shared" si="23"/>
        <v>0</v>
      </c>
      <c r="W33" s="109" t="str">
        <f t="shared" si="24"/>
        <v/>
      </c>
      <c r="X33" s="110" t="str">
        <f t="shared" si="25"/>
        <v/>
      </c>
      <c r="Y33" s="103" t="str">
        <f t="shared" si="26"/>
        <v/>
      </c>
      <c r="Z33" s="111"/>
      <c r="AA33" s="112"/>
      <c r="AB33" s="113" t="str">
        <f t="shared" si="16"/>
        <v>-</v>
      </c>
      <c r="AC33" s="112"/>
      <c r="AD33" s="114"/>
      <c r="AE33" s="115"/>
      <c r="AF33" s="115"/>
      <c r="AG33" s="116"/>
      <c r="AH33" s="117"/>
      <c r="AI33" s="117"/>
      <c r="AJ33" s="342"/>
      <c r="AK33" s="343"/>
      <c r="AL33" s="346"/>
      <c r="AM33" s="347"/>
      <c r="AN33" s="118"/>
      <c r="AO33" s="101" t="str">
        <f t="shared" si="19"/>
        <v/>
      </c>
      <c r="AP33" s="113" t="str">
        <f t="shared" si="20"/>
        <v>-</v>
      </c>
      <c r="AQ33" s="119"/>
      <c r="AR33" s="103" t="str">
        <f t="shared" si="21"/>
        <v/>
      </c>
      <c r="AT33" s="38" t="str">
        <f t="shared" si="27"/>
        <v>B6</v>
      </c>
      <c r="AU33" s="38">
        <f t="shared" si="18"/>
        <v>0</v>
      </c>
      <c r="AY33" s="38" t="str">
        <f t="shared" si="1"/>
        <v/>
      </c>
      <c r="AZ33" s="38" t="str">
        <f t="shared" si="2"/>
        <v>0</v>
      </c>
      <c r="BA33" s="38" t="str">
        <f t="shared" si="3"/>
        <v>0</v>
      </c>
      <c r="BB33" s="38" t="str">
        <f t="shared" si="4"/>
        <v>0</v>
      </c>
      <c r="BC33" s="38">
        <f t="shared" si="5"/>
        <v>0</v>
      </c>
      <c r="BD33" s="38">
        <f t="shared" si="6"/>
        <v>0</v>
      </c>
      <c r="BL33" s="38" t="str">
        <f t="shared" si="7"/>
        <v/>
      </c>
      <c r="BM33" s="38" t="str">
        <f t="shared" si="8"/>
        <v/>
      </c>
      <c r="BN33" s="38" t="str">
        <f t="shared" si="9"/>
        <v/>
      </c>
      <c r="BO33" s="38" t="str">
        <f t="shared" si="10"/>
        <v/>
      </c>
      <c r="BP33" s="38" t="str">
        <f t="shared" si="11"/>
        <v/>
      </c>
      <c r="BQ33" s="38" t="str">
        <f t="shared" si="12"/>
        <v/>
      </c>
    </row>
    <row r="34" spans="1:69" ht="15.6" x14ac:dyDescent="0.3">
      <c r="A34" s="124" t="s">
        <v>265</v>
      </c>
      <c r="B34" s="397">
        <f>IF(ISBLANK(HLOOKUP($F$25,spelerslijsten!$B$1:$J$22,12,FALSE)),"",HLOOKUP($F$25,spelerslijsten!$B$1:$J$22,12,FALSE))</f>
        <v>7</v>
      </c>
      <c r="C34" s="398"/>
      <c r="D34" s="121"/>
      <c r="E34" s="106" t="str">
        <f>IF(ISBLANK(HLOOKUP($F$25,spelerslijsten!$B$1:$J$22,11,FALSE)),"",HLOOKUP($F$25,spelerslijsten!$B$1:$J$22,11,FALSE))</f>
        <v>Wout Reininga</v>
      </c>
      <c r="F34" s="12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08">
        <f t="shared" si="23"/>
        <v>0</v>
      </c>
      <c r="W34" s="109" t="str">
        <f t="shared" si="24"/>
        <v/>
      </c>
      <c r="X34" s="110" t="str">
        <f t="shared" si="25"/>
        <v/>
      </c>
      <c r="Y34" s="103" t="str">
        <f t="shared" si="26"/>
        <v/>
      </c>
      <c r="Z34" s="111"/>
      <c r="AA34" s="112"/>
      <c r="AB34" s="113" t="str">
        <f t="shared" si="16"/>
        <v>-</v>
      </c>
      <c r="AC34" s="112"/>
      <c r="AD34" s="114"/>
      <c r="AE34" s="115"/>
      <c r="AF34" s="115"/>
      <c r="AG34" s="116"/>
      <c r="AH34" s="117"/>
      <c r="AI34" s="117"/>
      <c r="AJ34" s="342"/>
      <c r="AK34" s="343"/>
      <c r="AL34" s="346"/>
      <c r="AM34" s="347"/>
      <c r="AN34" s="118"/>
      <c r="AO34" s="101" t="str">
        <f t="shared" si="19"/>
        <v/>
      </c>
      <c r="AP34" s="113" t="str">
        <f t="shared" si="20"/>
        <v>-</v>
      </c>
      <c r="AQ34" s="119"/>
      <c r="AR34" s="103" t="str">
        <f t="shared" si="21"/>
        <v/>
      </c>
      <c r="AT34" s="38" t="str">
        <f t="shared" si="27"/>
        <v>B7</v>
      </c>
      <c r="AU34" s="38">
        <f t="shared" si="18"/>
        <v>0</v>
      </c>
      <c r="AY34" s="38" t="str">
        <f t="shared" si="1"/>
        <v/>
      </c>
      <c r="AZ34" s="38" t="str">
        <f t="shared" si="2"/>
        <v>0</v>
      </c>
      <c r="BA34" s="38" t="str">
        <f t="shared" si="3"/>
        <v>0</v>
      </c>
      <c r="BB34" s="38" t="str">
        <f t="shared" si="4"/>
        <v>0</v>
      </c>
      <c r="BC34" s="38">
        <f t="shared" si="5"/>
        <v>0</v>
      </c>
      <c r="BD34" s="38">
        <f t="shared" si="6"/>
        <v>0</v>
      </c>
      <c r="BL34" s="38" t="str">
        <f t="shared" si="7"/>
        <v/>
      </c>
      <c r="BM34" s="38" t="str">
        <f t="shared" si="8"/>
        <v/>
      </c>
      <c r="BN34" s="38" t="str">
        <f t="shared" si="9"/>
        <v/>
      </c>
      <c r="BO34" s="38" t="str">
        <f t="shared" si="10"/>
        <v/>
      </c>
      <c r="BP34" s="38" t="str">
        <f t="shared" si="11"/>
        <v/>
      </c>
      <c r="BQ34" s="38" t="str">
        <f t="shared" si="12"/>
        <v/>
      </c>
    </row>
    <row r="35" spans="1:69" ht="15.6" x14ac:dyDescent="0.3">
      <c r="A35" s="124" t="s">
        <v>265</v>
      </c>
      <c r="B35" s="397">
        <f>IF(ISBLANK(HLOOKUP($F$25,spelerslijsten!$B$1:$J$22,14,FALSE)),"",HLOOKUP($F$25,spelerslijsten!$B$1:$J$22,14,FALSE))</f>
        <v>8</v>
      </c>
      <c r="C35" s="398"/>
      <c r="D35" s="121"/>
      <c r="E35" s="106" t="str">
        <f>IF(ISBLANK(HLOOKUP($F$25,spelerslijsten!$B$1:$J$22,13,FALSE)),"",HLOOKUP($F$25,spelerslijsten!$B$1:$J$22,13,FALSE))</f>
        <v>Romy Hoed-Venterink</v>
      </c>
      <c r="F35" s="12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08">
        <f t="shared" si="23"/>
        <v>1</v>
      </c>
      <c r="W35" s="109" t="str">
        <f t="shared" si="24"/>
        <v/>
      </c>
      <c r="X35" s="110" t="str">
        <f t="shared" si="25"/>
        <v/>
      </c>
      <c r="Y35" s="103" t="str">
        <f t="shared" si="26"/>
        <v/>
      </c>
      <c r="Z35" s="111"/>
      <c r="AA35" s="112"/>
      <c r="AB35" s="113" t="str">
        <f t="shared" si="16"/>
        <v>-</v>
      </c>
      <c r="AC35" s="112"/>
      <c r="AD35" s="114"/>
      <c r="AE35" s="115"/>
      <c r="AF35" s="115"/>
      <c r="AG35" s="116"/>
      <c r="AH35" s="117"/>
      <c r="AI35" s="117"/>
      <c r="AJ35" s="342"/>
      <c r="AK35" s="343"/>
      <c r="AL35" s="346"/>
      <c r="AM35" s="347"/>
      <c r="AN35" s="118"/>
      <c r="AO35" s="101" t="str">
        <f t="shared" si="19"/>
        <v/>
      </c>
      <c r="AP35" s="113" t="str">
        <f t="shared" si="20"/>
        <v>-</v>
      </c>
      <c r="AQ35" s="119"/>
      <c r="AR35" s="103" t="str">
        <f t="shared" si="21"/>
        <v/>
      </c>
      <c r="AT35" s="38" t="str">
        <f t="shared" si="27"/>
        <v>B8</v>
      </c>
      <c r="AU35" s="38">
        <f t="shared" si="18"/>
        <v>0</v>
      </c>
      <c r="AY35" s="38" t="str">
        <f t="shared" si="1"/>
        <v/>
      </c>
      <c r="AZ35" s="38" t="str">
        <f t="shared" si="2"/>
        <v>0</v>
      </c>
      <c r="BA35" s="38" t="str">
        <f t="shared" si="3"/>
        <v>0</v>
      </c>
      <c r="BB35" s="38" t="str">
        <f t="shared" si="4"/>
        <v>0</v>
      </c>
      <c r="BC35" s="38">
        <f t="shared" si="5"/>
        <v>0</v>
      </c>
      <c r="BD35" s="38">
        <f t="shared" si="6"/>
        <v>0</v>
      </c>
      <c r="BL35" s="38" t="str">
        <f t="shared" si="7"/>
        <v/>
      </c>
      <c r="BM35" s="38" t="str">
        <f t="shared" si="8"/>
        <v/>
      </c>
      <c r="BN35" s="38" t="str">
        <f t="shared" si="9"/>
        <v/>
      </c>
      <c r="BO35" s="38" t="str">
        <f t="shared" si="10"/>
        <v/>
      </c>
      <c r="BP35" s="38" t="str">
        <f t="shared" si="11"/>
        <v/>
      </c>
      <c r="BQ35" s="38" t="str">
        <f t="shared" si="12"/>
        <v/>
      </c>
    </row>
    <row r="36" spans="1:69" ht="15.6" x14ac:dyDescent="0.3">
      <c r="A36" s="124" t="s">
        <v>265</v>
      </c>
      <c r="B36" s="397">
        <f>IF(ISBLANK(HLOOKUP($F$25,spelerslijsten!$B$1:$J$22,16,FALSE)),"",HLOOKUP($F$25,spelerslijsten!$B$1:$J$22,16,FALSE))</f>
        <v>9</v>
      </c>
      <c r="C36" s="398"/>
      <c r="D36" s="121"/>
      <c r="E36" s="106" t="str">
        <f>IF(ISBLANK(HLOOKUP($F$25,spelerslijsten!$B$1:$J$22,15,FALSE)),"",HLOOKUP($F$25,spelerslijsten!$B$1:$J$22,15,FALSE))</f>
        <v>Marieke van Namen</v>
      </c>
      <c r="F36" s="12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08">
        <f t="shared" si="23"/>
        <v>1</v>
      </c>
      <c r="W36" s="109" t="str">
        <f t="shared" si="24"/>
        <v/>
      </c>
      <c r="X36" s="110" t="str">
        <f t="shared" si="25"/>
        <v/>
      </c>
      <c r="Y36" s="103" t="str">
        <f t="shared" si="26"/>
        <v/>
      </c>
      <c r="Z36" s="111"/>
      <c r="AA36" s="112"/>
      <c r="AB36" s="113" t="str">
        <f t="shared" si="16"/>
        <v>-</v>
      </c>
      <c r="AC36" s="112"/>
      <c r="AD36" s="114"/>
      <c r="AE36" s="115"/>
      <c r="AF36" s="115"/>
      <c r="AG36" s="116"/>
      <c r="AH36" s="117"/>
      <c r="AI36" s="117"/>
      <c r="AJ36" s="342"/>
      <c r="AK36" s="343"/>
      <c r="AL36" s="346"/>
      <c r="AM36" s="347"/>
      <c r="AN36" s="118"/>
      <c r="AO36" s="101" t="str">
        <f t="shared" si="19"/>
        <v/>
      </c>
      <c r="AP36" s="113" t="str">
        <f t="shared" si="20"/>
        <v>-</v>
      </c>
      <c r="AQ36" s="119"/>
      <c r="AR36" s="103" t="str">
        <f t="shared" si="21"/>
        <v/>
      </c>
      <c r="AT36" s="38" t="str">
        <f t="shared" si="27"/>
        <v>B9</v>
      </c>
      <c r="AU36" s="38">
        <f t="shared" si="18"/>
        <v>0</v>
      </c>
      <c r="AY36" s="38" t="str">
        <f t="shared" si="1"/>
        <v/>
      </c>
      <c r="AZ36" s="38" t="str">
        <f t="shared" si="2"/>
        <v>0</v>
      </c>
      <c r="BA36" s="38" t="str">
        <f t="shared" si="3"/>
        <v>0</v>
      </c>
      <c r="BB36" s="38" t="str">
        <f t="shared" si="4"/>
        <v>0</v>
      </c>
      <c r="BC36" s="38">
        <f t="shared" si="5"/>
        <v>0</v>
      </c>
      <c r="BD36" s="38">
        <f t="shared" si="6"/>
        <v>0</v>
      </c>
      <c r="BL36" s="38" t="str">
        <f t="shared" si="7"/>
        <v/>
      </c>
      <c r="BM36" s="38" t="str">
        <f t="shared" si="8"/>
        <v/>
      </c>
      <c r="BN36" s="38" t="str">
        <f t="shared" si="9"/>
        <v/>
      </c>
      <c r="BO36" s="38" t="str">
        <f t="shared" si="10"/>
        <v/>
      </c>
      <c r="BP36" s="38" t="str">
        <f t="shared" si="11"/>
        <v/>
      </c>
      <c r="BQ36" s="38" t="str">
        <f t="shared" si="12"/>
        <v/>
      </c>
    </row>
    <row r="37" spans="1:69" ht="15.6" x14ac:dyDescent="0.3">
      <c r="A37" s="124" t="s">
        <v>265</v>
      </c>
      <c r="B37" s="397">
        <f>IF(ISBLANK(HLOOKUP($F$25,spelerslijsten!$B$1:$J$22,18,FALSE)),"",HLOOKUP($F$25,spelerslijsten!$B$1:$J$22,18,FALSE))</f>
        <v>10</v>
      </c>
      <c r="C37" s="398"/>
      <c r="D37" s="121"/>
      <c r="E37" s="106" t="str">
        <f>IF(ISBLANK(HLOOKUP($F$25,spelerslijsten!$B$1:$J$22,17,FALSE)),"",HLOOKUP($F$25,spelerslijsten!$B$1:$J$22,17,FALSE))</f>
        <v>Manon Dekkers</v>
      </c>
      <c r="F37" s="12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08">
        <f t="shared" si="23"/>
        <v>0</v>
      </c>
      <c r="W37" s="109" t="str">
        <f t="shared" si="24"/>
        <v/>
      </c>
      <c r="X37" s="110" t="str">
        <f t="shared" si="25"/>
        <v/>
      </c>
      <c r="Y37" s="103" t="str">
        <f t="shared" si="26"/>
        <v/>
      </c>
      <c r="Z37" s="111"/>
      <c r="AA37" s="112"/>
      <c r="AB37" s="113" t="str">
        <f t="shared" si="16"/>
        <v>-</v>
      </c>
      <c r="AC37" s="112"/>
      <c r="AD37" s="114"/>
      <c r="AE37" s="115"/>
      <c r="AF37" s="115"/>
      <c r="AG37" s="116"/>
      <c r="AH37" s="117"/>
      <c r="AI37" s="117"/>
      <c r="AJ37" s="342"/>
      <c r="AK37" s="343"/>
      <c r="AL37" s="346"/>
      <c r="AM37" s="347"/>
      <c r="AN37" s="118"/>
      <c r="AO37" s="101" t="str">
        <f t="shared" si="19"/>
        <v/>
      </c>
      <c r="AP37" s="113" t="str">
        <f t="shared" si="20"/>
        <v>-</v>
      </c>
      <c r="AQ37" s="119"/>
      <c r="AR37" s="103" t="str">
        <f t="shared" si="21"/>
        <v/>
      </c>
      <c r="AT37" s="38" t="str">
        <f t="shared" si="27"/>
        <v>B10</v>
      </c>
      <c r="AU37" s="38">
        <f t="shared" si="18"/>
        <v>0</v>
      </c>
      <c r="AY37" s="38" t="str">
        <f t="shared" si="1"/>
        <v/>
      </c>
      <c r="AZ37" s="38" t="str">
        <f t="shared" si="2"/>
        <v>0</v>
      </c>
      <c r="BA37" s="38" t="str">
        <f t="shared" si="3"/>
        <v>0</v>
      </c>
      <c r="BB37" s="38" t="str">
        <f t="shared" si="4"/>
        <v>0</v>
      </c>
      <c r="BC37" s="38">
        <f t="shared" si="5"/>
        <v>0</v>
      </c>
      <c r="BD37" s="38">
        <f t="shared" si="6"/>
        <v>0</v>
      </c>
      <c r="BL37" s="38" t="str">
        <f t="shared" si="7"/>
        <v/>
      </c>
      <c r="BM37" s="38" t="str">
        <f t="shared" si="8"/>
        <v/>
      </c>
      <c r="BN37" s="38" t="str">
        <f t="shared" si="9"/>
        <v/>
      </c>
      <c r="BO37" s="38" t="str">
        <f t="shared" si="10"/>
        <v/>
      </c>
      <c r="BP37" s="38" t="str">
        <f t="shared" si="11"/>
        <v/>
      </c>
      <c r="BQ37" s="38" t="str">
        <f t="shared" si="12"/>
        <v/>
      </c>
    </row>
    <row r="38" spans="1:69" ht="15.6" x14ac:dyDescent="0.3">
      <c r="A38" s="124" t="s">
        <v>265</v>
      </c>
      <c r="B38" s="397">
        <f>IF(ISBLANK(HLOOKUP($F$25,spelerslijsten!$B$1:$J$22,20,FALSE)),"",HLOOKUP($F$25,spelerslijsten!$B$1:$J$22,20,FALSE))</f>
        <v>11</v>
      </c>
      <c r="C38" s="398"/>
      <c r="D38" s="121"/>
      <c r="E38" s="106" t="str">
        <f>IF(ISBLANK(HLOOKUP($F$25,spelerslijsten!$B$1:$J$22,19,FALSE)),"",HLOOKUP($F$25,spelerslijsten!$B$1:$J$22,19,FALSE))</f>
        <v>Celine van de Heuvel</v>
      </c>
      <c r="F38" s="12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08">
        <f t="shared" si="23"/>
        <v>0</v>
      </c>
      <c r="W38" s="109" t="str">
        <f t="shared" si="24"/>
        <v/>
      </c>
      <c r="X38" s="110" t="str">
        <f t="shared" si="25"/>
        <v/>
      </c>
      <c r="Y38" s="103" t="str">
        <f t="shared" si="26"/>
        <v/>
      </c>
      <c r="Z38" s="111"/>
      <c r="AA38" s="112"/>
      <c r="AB38" s="113" t="str">
        <f t="shared" si="16"/>
        <v>-</v>
      </c>
      <c r="AC38" s="112"/>
      <c r="AD38" s="114"/>
      <c r="AE38" s="115"/>
      <c r="AF38" s="115"/>
      <c r="AG38" s="116"/>
      <c r="AH38" s="117"/>
      <c r="AI38" s="117"/>
      <c r="AJ38" s="342"/>
      <c r="AK38" s="343"/>
      <c r="AL38" s="346"/>
      <c r="AM38" s="347"/>
      <c r="AN38" s="118"/>
      <c r="AO38" s="101" t="str">
        <f t="shared" si="19"/>
        <v/>
      </c>
      <c r="AP38" s="113" t="str">
        <f t="shared" si="20"/>
        <v>-</v>
      </c>
      <c r="AQ38" s="119"/>
      <c r="AR38" s="103" t="str">
        <f t="shared" si="21"/>
        <v/>
      </c>
      <c r="AT38" s="38" t="str">
        <f t="shared" si="27"/>
        <v>B11</v>
      </c>
      <c r="AU38" s="38">
        <f t="shared" si="18"/>
        <v>0</v>
      </c>
      <c r="AY38" s="38" t="str">
        <f t="shared" si="1"/>
        <v/>
      </c>
      <c r="AZ38" s="38" t="str">
        <f t="shared" si="2"/>
        <v>0</v>
      </c>
      <c r="BA38" s="38" t="str">
        <f t="shared" si="3"/>
        <v>0</v>
      </c>
      <c r="BB38" s="38" t="str">
        <f t="shared" si="4"/>
        <v>0</v>
      </c>
      <c r="BC38" s="38">
        <f t="shared" si="5"/>
        <v>0</v>
      </c>
      <c r="BD38" s="38">
        <f t="shared" si="6"/>
        <v>0</v>
      </c>
      <c r="BL38" s="38" t="str">
        <f t="shared" si="7"/>
        <v/>
      </c>
      <c r="BM38" s="38" t="str">
        <f t="shared" si="8"/>
        <v/>
      </c>
      <c r="BN38" s="38" t="str">
        <f t="shared" si="9"/>
        <v/>
      </c>
      <c r="BO38" s="38" t="str">
        <f t="shared" si="10"/>
        <v/>
      </c>
      <c r="BP38" s="38" t="str">
        <f t="shared" si="11"/>
        <v/>
      </c>
      <c r="BQ38" s="38" t="str">
        <f t="shared" si="12"/>
        <v/>
      </c>
    </row>
    <row r="39" spans="1:69" ht="15.6" x14ac:dyDescent="0.3">
      <c r="A39" s="125"/>
      <c r="B39" s="397" t="str">
        <f>IF(ISBLANK(HLOOKUP($F$25,spelerslijsten!$B$1:$J$22,22,FALSE)),"",HLOOKUP($F$25,spelerslijsten!$B$1:$J$22,22,FALSE))</f>
        <v/>
      </c>
      <c r="C39" s="398"/>
      <c r="D39" s="126"/>
      <c r="E39" s="106" t="str">
        <f>IF(ISBLANK(HLOOKUP($F$25,spelerslijsten!$B$1:$J$22,21,FALSE)),"",HLOOKUP($F$25,spelerslijsten!$B$1:$J$22,21,FALSE))</f>
        <v/>
      </c>
      <c r="F39" s="126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08">
        <f t="shared" si="23"/>
        <v>0</v>
      </c>
      <c r="W39" s="109" t="str">
        <f t="shared" si="24"/>
        <v/>
      </c>
      <c r="X39" s="110" t="str">
        <f t="shared" si="25"/>
        <v/>
      </c>
      <c r="Y39" s="103" t="str">
        <f t="shared" si="26"/>
        <v/>
      </c>
      <c r="Z39" s="111"/>
      <c r="AA39" s="112"/>
      <c r="AB39" s="113" t="str">
        <f t="shared" si="16"/>
        <v>-</v>
      </c>
      <c r="AC39" s="112"/>
      <c r="AD39" s="114"/>
      <c r="AE39" s="115"/>
      <c r="AF39" s="115"/>
      <c r="AG39" s="116"/>
      <c r="AH39" s="117"/>
      <c r="AI39" s="117"/>
      <c r="AJ39" s="342"/>
      <c r="AK39" s="343"/>
      <c r="AL39" s="346"/>
      <c r="AM39" s="347"/>
      <c r="AN39" s="118"/>
      <c r="AO39" s="101" t="str">
        <f t="shared" si="19"/>
        <v/>
      </c>
      <c r="AP39" s="113" t="str">
        <f t="shared" si="20"/>
        <v>-</v>
      </c>
      <c r="AQ39" s="119"/>
      <c r="AR39" s="103" t="str">
        <f t="shared" si="21"/>
        <v/>
      </c>
      <c r="AT39" s="38" t="str">
        <f t="shared" si="27"/>
        <v>B</v>
      </c>
      <c r="AU39" s="38">
        <f t="shared" si="18"/>
        <v>0</v>
      </c>
      <c r="AY39" s="38" t="str">
        <f t="shared" si="1"/>
        <v/>
      </c>
      <c r="AZ39" s="38" t="str">
        <f t="shared" si="2"/>
        <v>0</v>
      </c>
      <c r="BA39" s="38" t="str">
        <f t="shared" si="3"/>
        <v>0</v>
      </c>
      <c r="BB39" s="38" t="str">
        <f t="shared" si="4"/>
        <v>0</v>
      </c>
      <c r="BC39" s="38">
        <f t="shared" si="5"/>
        <v>0</v>
      </c>
      <c r="BD39" s="38">
        <f t="shared" si="6"/>
        <v>0</v>
      </c>
      <c r="BL39" s="38" t="str">
        <f t="shared" si="7"/>
        <v/>
      </c>
      <c r="BM39" s="38" t="str">
        <f t="shared" si="8"/>
        <v/>
      </c>
      <c r="BN39" s="38" t="str">
        <f t="shared" si="9"/>
        <v/>
      </c>
      <c r="BO39" s="38" t="str">
        <f t="shared" si="10"/>
        <v/>
      </c>
      <c r="BP39" s="38" t="str">
        <f t="shared" si="11"/>
        <v/>
      </c>
      <c r="BQ39" s="38" t="str">
        <f t="shared" si="12"/>
        <v/>
      </c>
    </row>
    <row r="40" spans="1:69" ht="16.2" thickBot="1" x14ac:dyDescent="0.35">
      <c r="A40" s="71" t="s">
        <v>67</v>
      </c>
      <c r="B40" s="72"/>
      <c r="C40" s="72"/>
      <c r="D40" s="72"/>
      <c r="E40" s="72"/>
      <c r="F40" s="72"/>
      <c r="G40" s="72"/>
      <c r="H40" s="72"/>
      <c r="I40" s="399">
        <f>HLOOKUP(F25,spelerslijsten!B1:J25,25,FALSE)</f>
        <v>2</v>
      </c>
      <c r="J40" s="400"/>
      <c r="K40" s="74" t="s">
        <v>23</v>
      </c>
      <c r="L40" s="72"/>
      <c r="M40" s="72"/>
      <c r="N40" s="129" t="str">
        <f>HLOOKUP(F25,spelerslijsten!B1:J25,23,FALSE)</f>
        <v>Niels Venterink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30"/>
      <c r="Z40" s="111"/>
      <c r="AA40" s="112"/>
      <c r="AB40" s="113" t="str">
        <f t="shared" si="16"/>
        <v>-</v>
      </c>
      <c r="AC40" s="112"/>
      <c r="AD40" s="114"/>
      <c r="AE40" s="115"/>
      <c r="AF40" s="115"/>
      <c r="AG40" s="116"/>
      <c r="AH40" s="117"/>
      <c r="AI40" s="117"/>
      <c r="AJ40" s="342"/>
      <c r="AK40" s="343"/>
      <c r="AL40" s="346"/>
      <c r="AM40" s="347"/>
      <c r="AN40" s="118"/>
      <c r="AO40" s="101" t="str">
        <f t="shared" si="19"/>
        <v/>
      </c>
      <c r="AP40" s="113" t="str">
        <f t="shared" si="20"/>
        <v>-</v>
      </c>
      <c r="AQ40" s="119"/>
      <c r="AR40" s="103" t="str">
        <f t="shared" si="21"/>
        <v/>
      </c>
      <c r="AY40" s="38" t="str">
        <f t="shared" si="1"/>
        <v/>
      </c>
      <c r="AZ40" s="38" t="str">
        <f t="shared" si="2"/>
        <v>0</v>
      </c>
      <c r="BA40" s="38" t="str">
        <f t="shared" si="3"/>
        <v>0</v>
      </c>
      <c r="BB40" s="38" t="str">
        <f t="shared" si="4"/>
        <v>0</v>
      </c>
      <c r="BC40" s="38">
        <f t="shared" si="5"/>
        <v>0</v>
      </c>
      <c r="BD40" s="38">
        <f t="shared" si="6"/>
        <v>0</v>
      </c>
      <c r="BL40" s="38" t="str">
        <f t="shared" si="7"/>
        <v/>
      </c>
      <c r="BM40" s="38" t="str">
        <f t="shared" si="8"/>
        <v/>
      </c>
      <c r="BN40" s="38" t="str">
        <f t="shared" si="9"/>
        <v/>
      </c>
      <c r="BO40" s="38" t="str">
        <f t="shared" si="10"/>
        <v/>
      </c>
      <c r="BP40" s="38" t="str">
        <f t="shared" si="11"/>
        <v/>
      </c>
      <c r="BQ40" s="38" t="str">
        <f t="shared" si="12"/>
        <v/>
      </c>
    </row>
    <row r="41" spans="1:69" ht="15.6" x14ac:dyDescent="0.3">
      <c r="A41" s="157" t="s">
        <v>68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158"/>
      <c r="Z41" s="111"/>
      <c r="AA41" s="112"/>
      <c r="AB41" s="113" t="str">
        <f t="shared" si="16"/>
        <v>-</v>
      </c>
      <c r="AC41" s="112"/>
      <c r="AD41" s="114"/>
      <c r="AE41" s="115"/>
      <c r="AF41" s="115"/>
      <c r="AG41" s="116"/>
      <c r="AH41" s="117"/>
      <c r="AI41" s="117"/>
      <c r="AJ41" s="342"/>
      <c r="AK41" s="343"/>
      <c r="AL41" s="346"/>
      <c r="AM41" s="347"/>
      <c r="AN41" s="118"/>
      <c r="AO41" s="101" t="str">
        <f t="shared" si="19"/>
        <v/>
      </c>
      <c r="AP41" s="113" t="str">
        <f t="shared" si="20"/>
        <v>-</v>
      </c>
      <c r="AQ41" s="119"/>
      <c r="AR41" s="103" t="str">
        <f t="shared" si="21"/>
        <v/>
      </c>
      <c r="AY41" s="38" t="str">
        <f t="shared" si="1"/>
        <v/>
      </c>
      <c r="AZ41" s="38" t="str">
        <f t="shared" si="2"/>
        <v>0</v>
      </c>
      <c r="BA41" s="38" t="str">
        <f t="shared" si="3"/>
        <v>0</v>
      </c>
      <c r="BB41" s="38" t="str">
        <f t="shared" si="4"/>
        <v>0</v>
      </c>
      <c r="BC41" s="38">
        <f t="shared" si="5"/>
        <v>0</v>
      </c>
      <c r="BD41" s="38">
        <f t="shared" si="6"/>
        <v>0</v>
      </c>
      <c r="BL41" s="38" t="str">
        <f t="shared" si="7"/>
        <v/>
      </c>
      <c r="BM41" s="38" t="str">
        <f t="shared" si="8"/>
        <v/>
      </c>
      <c r="BN41" s="38" t="str">
        <f t="shared" si="9"/>
        <v/>
      </c>
      <c r="BO41" s="38" t="str">
        <f t="shared" si="10"/>
        <v/>
      </c>
      <c r="BP41" s="38" t="str">
        <f t="shared" si="11"/>
        <v/>
      </c>
      <c r="BQ41" s="38" t="str">
        <f t="shared" si="12"/>
        <v/>
      </c>
    </row>
    <row r="42" spans="1:69" ht="15.6" x14ac:dyDescent="0.3">
      <c r="A42" s="15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60"/>
      <c r="Z42" s="111"/>
      <c r="AA42" s="112"/>
      <c r="AB42" s="113" t="str">
        <f t="shared" si="16"/>
        <v>-</v>
      </c>
      <c r="AC42" s="112"/>
      <c r="AD42" s="114"/>
      <c r="AE42" s="115"/>
      <c r="AF42" s="115"/>
      <c r="AG42" s="116"/>
      <c r="AH42" s="117"/>
      <c r="AI42" s="117"/>
      <c r="AJ42" s="342"/>
      <c r="AK42" s="343"/>
      <c r="AL42" s="346"/>
      <c r="AM42" s="347"/>
      <c r="AN42" s="118"/>
      <c r="AO42" s="101" t="str">
        <f t="shared" si="19"/>
        <v/>
      </c>
      <c r="AP42" s="113" t="str">
        <f t="shared" si="20"/>
        <v>-</v>
      </c>
      <c r="AQ42" s="119"/>
      <c r="AR42" s="103" t="str">
        <f t="shared" si="21"/>
        <v/>
      </c>
      <c r="AY42" s="38" t="str">
        <f t="shared" si="1"/>
        <v/>
      </c>
      <c r="AZ42" s="38" t="str">
        <f t="shared" si="2"/>
        <v>0</v>
      </c>
      <c r="BA42" s="38" t="str">
        <f t="shared" si="3"/>
        <v>0</v>
      </c>
      <c r="BB42" s="38" t="str">
        <f t="shared" si="4"/>
        <v>0</v>
      </c>
      <c r="BC42" s="38">
        <f t="shared" si="5"/>
        <v>0</v>
      </c>
      <c r="BD42" s="38">
        <f t="shared" si="6"/>
        <v>0</v>
      </c>
      <c r="BL42" s="38" t="str">
        <f t="shared" si="7"/>
        <v/>
      </c>
      <c r="BM42" s="38" t="str">
        <f t="shared" si="8"/>
        <v/>
      </c>
      <c r="BN42" s="38" t="str">
        <f t="shared" si="9"/>
        <v/>
      </c>
      <c r="BO42" s="38" t="str">
        <f t="shared" si="10"/>
        <v/>
      </c>
      <c r="BP42" s="38" t="str">
        <f t="shared" si="11"/>
        <v/>
      </c>
      <c r="BQ42" s="38" t="str">
        <f t="shared" si="12"/>
        <v/>
      </c>
    </row>
    <row r="43" spans="1:69" ht="15.6" x14ac:dyDescent="0.3">
      <c r="A43" s="16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62"/>
      <c r="Z43" s="111"/>
      <c r="AA43" s="112"/>
      <c r="AB43" s="113" t="str">
        <f t="shared" si="16"/>
        <v>-</v>
      </c>
      <c r="AC43" s="112"/>
      <c r="AD43" s="114"/>
      <c r="AE43" s="115"/>
      <c r="AF43" s="115"/>
      <c r="AG43" s="116"/>
      <c r="AH43" s="117"/>
      <c r="AI43" s="117"/>
      <c r="AJ43" s="342"/>
      <c r="AK43" s="343"/>
      <c r="AL43" s="346"/>
      <c r="AM43" s="347"/>
      <c r="AN43" s="118"/>
      <c r="AO43" s="101" t="str">
        <f t="shared" si="19"/>
        <v/>
      </c>
      <c r="AP43" s="113" t="str">
        <f t="shared" si="20"/>
        <v>-</v>
      </c>
      <c r="AQ43" s="119"/>
      <c r="AR43" s="103" t="str">
        <f t="shared" si="21"/>
        <v/>
      </c>
      <c r="AY43" s="38" t="str">
        <f t="shared" si="1"/>
        <v/>
      </c>
      <c r="AZ43" s="38" t="str">
        <f t="shared" si="2"/>
        <v>0</v>
      </c>
      <c r="BA43" s="38" t="str">
        <f t="shared" si="3"/>
        <v>0</v>
      </c>
      <c r="BB43" s="38" t="str">
        <f t="shared" si="4"/>
        <v>0</v>
      </c>
      <c r="BC43" s="38">
        <f t="shared" si="5"/>
        <v>0</v>
      </c>
      <c r="BD43" s="38">
        <f t="shared" si="6"/>
        <v>0</v>
      </c>
      <c r="BL43" s="38" t="str">
        <f t="shared" si="7"/>
        <v/>
      </c>
      <c r="BM43" s="38" t="str">
        <f t="shared" si="8"/>
        <v/>
      </c>
      <c r="BN43" s="38" t="str">
        <f t="shared" si="9"/>
        <v/>
      </c>
      <c r="BO43" s="38" t="str">
        <f t="shared" si="10"/>
        <v/>
      </c>
      <c r="BP43" s="38" t="str">
        <f t="shared" si="11"/>
        <v/>
      </c>
      <c r="BQ43" s="38" t="str">
        <f t="shared" si="12"/>
        <v/>
      </c>
    </row>
    <row r="44" spans="1:69" ht="15.6" x14ac:dyDescent="0.3">
      <c r="A44" s="16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62"/>
      <c r="Z44" s="111"/>
      <c r="AA44" s="112"/>
      <c r="AB44" s="113" t="str">
        <f t="shared" si="16"/>
        <v>-</v>
      </c>
      <c r="AC44" s="112"/>
      <c r="AD44" s="114"/>
      <c r="AE44" s="115"/>
      <c r="AF44" s="115"/>
      <c r="AG44" s="116"/>
      <c r="AH44" s="117"/>
      <c r="AI44" s="117"/>
      <c r="AJ44" s="342"/>
      <c r="AK44" s="343"/>
      <c r="AL44" s="346"/>
      <c r="AM44" s="347"/>
      <c r="AN44" s="118"/>
      <c r="AO44" s="101" t="str">
        <f t="shared" si="19"/>
        <v/>
      </c>
      <c r="AP44" s="113" t="str">
        <f t="shared" si="20"/>
        <v>-</v>
      </c>
      <c r="AQ44" s="119"/>
      <c r="AR44" s="103" t="str">
        <f t="shared" si="21"/>
        <v/>
      </c>
      <c r="AY44" s="38" t="str">
        <f t="shared" si="1"/>
        <v/>
      </c>
      <c r="AZ44" s="38" t="str">
        <f t="shared" si="2"/>
        <v>0</v>
      </c>
      <c r="BA44" s="38" t="str">
        <f t="shared" si="3"/>
        <v>0</v>
      </c>
      <c r="BB44" s="38" t="str">
        <f t="shared" si="4"/>
        <v>0</v>
      </c>
      <c r="BC44" s="38">
        <f t="shared" si="5"/>
        <v>0</v>
      </c>
      <c r="BD44" s="38">
        <f t="shared" si="6"/>
        <v>0</v>
      </c>
      <c r="BL44" s="38" t="str">
        <f t="shared" si="7"/>
        <v/>
      </c>
      <c r="BM44" s="38" t="str">
        <f t="shared" si="8"/>
        <v/>
      </c>
      <c r="BN44" s="38" t="str">
        <f t="shared" si="9"/>
        <v/>
      </c>
      <c r="BO44" s="38" t="str">
        <f t="shared" si="10"/>
        <v/>
      </c>
      <c r="BP44" s="38" t="str">
        <f t="shared" si="11"/>
        <v/>
      </c>
      <c r="BQ44" s="38" t="str">
        <f t="shared" si="12"/>
        <v/>
      </c>
    </row>
    <row r="45" spans="1:69" ht="15.6" x14ac:dyDescent="0.3">
      <c r="A45" s="16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62"/>
      <c r="Z45" s="111"/>
      <c r="AA45" s="112"/>
      <c r="AB45" s="113" t="str">
        <f>+AB44</f>
        <v>-</v>
      </c>
      <c r="AC45" s="112"/>
      <c r="AD45" s="114"/>
      <c r="AE45" s="115"/>
      <c r="AF45" s="115"/>
      <c r="AG45" s="116"/>
      <c r="AH45" s="117"/>
      <c r="AI45" s="117"/>
      <c r="AJ45" s="342"/>
      <c r="AK45" s="343"/>
      <c r="AL45" s="346"/>
      <c r="AM45" s="347"/>
      <c r="AN45" s="118"/>
      <c r="AO45" s="101" t="str">
        <f t="shared" si="19"/>
        <v/>
      </c>
      <c r="AP45" s="113" t="str">
        <f t="shared" si="20"/>
        <v>-</v>
      </c>
      <c r="AQ45" s="119"/>
      <c r="AR45" s="103" t="str">
        <f t="shared" si="21"/>
        <v/>
      </c>
      <c r="AY45" s="38" t="str">
        <f t="shared" si="1"/>
        <v/>
      </c>
      <c r="AZ45" s="38" t="str">
        <f t="shared" si="2"/>
        <v>0</v>
      </c>
      <c r="BA45" s="38" t="str">
        <f t="shared" si="3"/>
        <v>0</v>
      </c>
      <c r="BB45" s="38" t="str">
        <f t="shared" si="4"/>
        <v>0</v>
      </c>
      <c r="BC45" s="38">
        <f t="shared" si="5"/>
        <v>0</v>
      </c>
      <c r="BD45" s="38">
        <f t="shared" si="6"/>
        <v>0</v>
      </c>
      <c r="BL45" s="38" t="str">
        <f t="shared" si="7"/>
        <v/>
      </c>
      <c r="BM45" s="38" t="str">
        <f t="shared" si="8"/>
        <v/>
      </c>
      <c r="BN45" s="38" t="str">
        <f t="shared" si="9"/>
        <v/>
      </c>
      <c r="BO45" s="38" t="str">
        <f t="shared" si="10"/>
        <v/>
      </c>
      <c r="BP45" s="38" t="str">
        <f t="shared" si="11"/>
        <v/>
      </c>
      <c r="BQ45" s="38" t="str">
        <f t="shared" si="12"/>
        <v/>
      </c>
    </row>
    <row r="46" spans="1:69" ht="16.2" thickBot="1" x14ac:dyDescent="0.35">
      <c r="A46" s="163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64"/>
      <c r="Z46" s="165"/>
      <c r="AA46" s="166"/>
      <c r="AB46" s="167" t="str">
        <f>+AB45</f>
        <v>-</v>
      </c>
      <c r="AC46" s="166"/>
      <c r="AD46" s="168"/>
      <c r="AE46" s="169"/>
      <c r="AF46" s="169"/>
      <c r="AG46" s="170"/>
      <c r="AH46" s="171"/>
      <c r="AI46" s="171"/>
      <c r="AJ46" s="344"/>
      <c r="AK46" s="345"/>
      <c r="AL46" s="352"/>
      <c r="AM46" s="353"/>
      <c r="AN46" s="172"/>
      <c r="AO46" s="101" t="str">
        <f t="shared" si="19"/>
        <v/>
      </c>
      <c r="AP46" s="113" t="str">
        <f t="shared" si="20"/>
        <v>-</v>
      </c>
      <c r="AQ46" s="119"/>
      <c r="AR46" s="103" t="str">
        <f t="shared" si="21"/>
        <v/>
      </c>
      <c r="AY46" s="38" t="str">
        <f t="shared" si="1"/>
        <v/>
      </c>
      <c r="AZ46" s="38" t="str">
        <f t="shared" si="2"/>
        <v>0</v>
      </c>
      <c r="BA46" s="38" t="str">
        <f t="shared" si="3"/>
        <v>0</v>
      </c>
      <c r="BB46" s="38" t="str">
        <f t="shared" si="4"/>
        <v>0</v>
      </c>
      <c r="BC46" s="38">
        <f t="shared" si="5"/>
        <v>0</v>
      </c>
      <c r="BD46" s="38">
        <f t="shared" si="6"/>
        <v>0</v>
      </c>
      <c r="BL46" s="38" t="str">
        <f t="shared" si="7"/>
        <v/>
      </c>
      <c r="BM46" s="38" t="str">
        <f t="shared" si="8"/>
        <v/>
      </c>
      <c r="BN46" s="38" t="str">
        <f t="shared" si="9"/>
        <v/>
      </c>
      <c r="BO46" s="38" t="str">
        <f t="shared" si="10"/>
        <v/>
      </c>
      <c r="BP46" s="38" t="str">
        <f t="shared" si="11"/>
        <v/>
      </c>
      <c r="BQ46" s="38" t="str">
        <f t="shared" si="12"/>
        <v/>
      </c>
    </row>
    <row r="47" spans="1:69" ht="18.600000000000001" thickBot="1" x14ac:dyDescent="0.35">
      <c r="A47" s="173" t="s">
        <v>69</v>
      </c>
      <c r="B47" s="174"/>
      <c r="C47" s="174"/>
      <c r="D47" s="174"/>
      <c r="E47" s="174"/>
      <c r="F47" s="174"/>
      <c r="G47" s="174">
        <f>IF(AO52&gt;AR52,AO52,IF(AO52=AR52,AO52,AR52))</f>
        <v>4</v>
      </c>
      <c r="H47" s="175" t="s">
        <v>16</v>
      </c>
      <c r="I47" s="174">
        <f>IF(AO52&gt;AR52,AR52,IF(AO52=AR52,AR52,AO52))</f>
        <v>2</v>
      </c>
      <c r="J47" s="174"/>
      <c r="K47" s="174" t="s">
        <v>70</v>
      </c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6" t="str">
        <f>BE52</f>
        <v>WIT</v>
      </c>
      <c r="W47" s="174"/>
      <c r="X47" s="174"/>
      <c r="Y47" s="174"/>
      <c r="Z47" s="174"/>
      <c r="AA47" s="174"/>
      <c r="AB47" s="174"/>
      <c r="AC47" s="174"/>
      <c r="AD47" s="177"/>
      <c r="AE47" s="178" t="s">
        <v>71</v>
      </c>
      <c r="AF47" s="179"/>
      <c r="AG47" s="179"/>
      <c r="AH47" s="179"/>
      <c r="AI47" s="179"/>
      <c r="AJ47" s="174"/>
      <c r="AK47" s="174"/>
      <c r="AL47" s="403" t="s">
        <v>177</v>
      </c>
      <c r="AM47" s="404"/>
      <c r="AN47" s="404"/>
      <c r="AO47" s="404"/>
      <c r="AP47" s="404"/>
      <c r="AQ47" s="404"/>
      <c r="AR47" s="405"/>
    </row>
    <row r="48" spans="1:69" x14ac:dyDescent="0.3">
      <c r="A48" s="180" t="s">
        <v>72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2"/>
      <c r="P48" s="183" t="s">
        <v>72</v>
      </c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2"/>
      <c r="AC48" s="181"/>
      <c r="AD48" s="184"/>
      <c r="AE48" s="185" t="s">
        <v>72</v>
      </c>
      <c r="AF48" s="186"/>
      <c r="AG48" s="186"/>
      <c r="AH48" s="186"/>
      <c r="AI48" s="186"/>
      <c r="AJ48" s="181"/>
      <c r="AK48" s="181"/>
      <c r="AL48" s="181"/>
      <c r="AM48" s="181"/>
      <c r="AN48" s="181"/>
      <c r="AO48" s="186"/>
      <c r="AP48" s="181"/>
      <c r="AQ48" s="181"/>
      <c r="AR48" s="187"/>
    </row>
    <row r="49" spans="1:57" x14ac:dyDescent="0.3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/>
      <c r="P49" s="191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90"/>
      <c r="AC49" s="189"/>
      <c r="AD49" s="192"/>
      <c r="AE49" s="193"/>
      <c r="AF49" s="193"/>
      <c r="AG49" s="193"/>
      <c r="AH49" s="193"/>
      <c r="AI49" s="193"/>
      <c r="AJ49" s="189"/>
      <c r="AK49" s="189"/>
      <c r="AL49" s="189"/>
      <c r="AM49" s="189"/>
      <c r="AN49" s="189"/>
      <c r="AO49" s="193"/>
      <c r="AP49" s="189"/>
      <c r="AQ49" s="189"/>
      <c r="AR49" s="194"/>
    </row>
    <row r="50" spans="1:57" ht="14.4" thickBot="1" x14ac:dyDescent="0.3">
      <c r="A50" s="195" t="s">
        <v>73</v>
      </c>
      <c r="B50" s="196"/>
      <c r="C50" s="196"/>
      <c r="D50" s="196"/>
      <c r="E50" s="196"/>
      <c r="F50" s="196"/>
      <c r="G50" s="196"/>
      <c r="H50" s="197" t="s">
        <v>74</v>
      </c>
      <c r="I50" s="196"/>
      <c r="J50" s="196"/>
      <c r="K50" s="196"/>
      <c r="L50" s="196"/>
      <c r="M50" s="196"/>
      <c r="N50" s="196"/>
      <c r="O50" s="198"/>
      <c r="P50" s="199" t="s">
        <v>73</v>
      </c>
      <c r="Q50" s="196"/>
      <c r="R50" s="196"/>
      <c r="S50" s="196"/>
      <c r="T50" s="196"/>
      <c r="U50" s="196"/>
      <c r="V50" s="196"/>
      <c r="W50" s="197" t="s">
        <v>75</v>
      </c>
      <c r="X50" s="196"/>
      <c r="Y50" s="196"/>
      <c r="Z50" s="196"/>
      <c r="AA50" s="196"/>
      <c r="AB50" s="198"/>
      <c r="AC50" s="196"/>
      <c r="AD50" s="200"/>
      <c r="AE50" s="201" t="s">
        <v>25</v>
      </c>
      <c r="AF50" s="202"/>
      <c r="AG50" s="202"/>
      <c r="AH50" s="202"/>
      <c r="AI50" s="202"/>
      <c r="AJ50" s="203"/>
      <c r="AK50" s="203"/>
      <c r="AL50" s="203"/>
      <c r="AM50" s="203"/>
      <c r="AN50" s="203"/>
      <c r="AO50" s="202"/>
      <c r="AP50" s="203"/>
      <c r="AQ50" s="203"/>
      <c r="AR50" s="204"/>
    </row>
    <row r="52" spans="1:57" hidden="1" x14ac:dyDescent="0.3">
      <c r="AO52" s="40">
        <f>IF(AO13="","",MAX(AO13:AO46))</f>
        <v>4</v>
      </c>
      <c r="AR52" s="40">
        <f>IF(AR13="","",MAX(AR13:AR46))</f>
        <v>2</v>
      </c>
      <c r="AS52" s="38" t="str">
        <f>IF(AO13="","0","1")</f>
        <v>1</v>
      </c>
      <c r="BE52" s="38" t="str">
        <f>IF(AS52="0","WIT/BLAUW",IF(AO52&gt;AR52,"WIT",IF(AO52=AR52,"GELIJK","BLAUW")))</f>
        <v>WIT</v>
      </c>
    </row>
  </sheetData>
  <sheetProtection sheet="1" objects="1" scenarios="1"/>
  <mergeCells count="107">
    <mergeCell ref="AL47:AR47"/>
    <mergeCell ref="BF4:BI6"/>
    <mergeCell ref="AL44:AM44"/>
    <mergeCell ref="AL45:AM45"/>
    <mergeCell ref="AL46:AM46"/>
    <mergeCell ref="AL39:AM39"/>
    <mergeCell ref="AL40:AM40"/>
    <mergeCell ref="AL41:AM41"/>
    <mergeCell ref="AL42:AM42"/>
    <mergeCell ref="AL43:AM43"/>
    <mergeCell ref="AL34:AM34"/>
    <mergeCell ref="AL35:AM35"/>
    <mergeCell ref="AL36:AM36"/>
    <mergeCell ref="AL37:AM37"/>
    <mergeCell ref="AL38:AM38"/>
    <mergeCell ref="AL29:AM29"/>
    <mergeCell ref="AL17:AM17"/>
    <mergeCell ref="AL18:AM18"/>
    <mergeCell ref="AL19:AM19"/>
    <mergeCell ref="AL20:AM20"/>
    <mergeCell ref="AL21:AM21"/>
    <mergeCell ref="AL30:AM30"/>
    <mergeCell ref="AL31:AM31"/>
    <mergeCell ref="AL32:AM32"/>
    <mergeCell ref="AL33:AM33"/>
    <mergeCell ref="AL22:AM22"/>
    <mergeCell ref="AL23:AM23"/>
    <mergeCell ref="AL24:AM24"/>
    <mergeCell ref="AL25:AM25"/>
    <mergeCell ref="AL26:AM26"/>
    <mergeCell ref="D3:N3"/>
    <mergeCell ref="AL13:AM13"/>
    <mergeCell ref="AL14:AM14"/>
    <mergeCell ref="AL15:AM15"/>
    <mergeCell ref="AL16:AM16"/>
    <mergeCell ref="K4:M4"/>
    <mergeCell ref="AH6:AR6"/>
    <mergeCell ref="F10:Y12"/>
    <mergeCell ref="Z10:AD12"/>
    <mergeCell ref="AJ10:AK12"/>
    <mergeCell ref="AL10:AM12"/>
    <mergeCell ref="AN10:AR11"/>
    <mergeCell ref="AN12:AO12"/>
    <mergeCell ref="AQ12:AR12"/>
    <mergeCell ref="D4:E4"/>
    <mergeCell ref="G4:I4"/>
    <mergeCell ref="AJ13:AK13"/>
    <mergeCell ref="AJ14:AK14"/>
    <mergeCell ref="B30:C30"/>
    <mergeCell ref="B31:C31"/>
    <mergeCell ref="B32:C32"/>
    <mergeCell ref="B33:C33"/>
    <mergeCell ref="B34:C34"/>
    <mergeCell ref="I40:J40"/>
    <mergeCell ref="B35:C35"/>
    <mergeCell ref="B36:C36"/>
    <mergeCell ref="B37:C37"/>
    <mergeCell ref="B38:C38"/>
    <mergeCell ref="B39:C39"/>
    <mergeCell ref="B23:C23"/>
    <mergeCell ref="I24:J24"/>
    <mergeCell ref="F25:Y28"/>
    <mergeCell ref="A26:D28"/>
    <mergeCell ref="AL27:AM27"/>
    <mergeCell ref="AL28:AM28"/>
    <mergeCell ref="AJ23:AK23"/>
    <mergeCell ref="AJ24:AK24"/>
    <mergeCell ref="AJ25:AK25"/>
    <mergeCell ref="AJ26:AK26"/>
    <mergeCell ref="AJ27:AK27"/>
    <mergeCell ref="AJ28:AK28"/>
    <mergeCell ref="AJ15:AK15"/>
    <mergeCell ref="AJ16:AK16"/>
    <mergeCell ref="AJ17:AK17"/>
    <mergeCell ref="B21:C21"/>
    <mergeCell ref="B22:C22"/>
    <mergeCell ref="A11:D12"/>
    <mergeCell ref="B14:C14"/>
    <mergeCell ref="B15:C15"/>
    <mergeCell ref="B16:C16"/>
    <mergeCell ref="B17:C17"/>
    <mergeCell ref="B18:C18"/>
    <mergeCell ref="B19:C19"/>
    <mergeCell ref="B20:C20"/>
    <mergeCell ref="AJ29:AK29"/>
    <mergeCell ref="AJ30:AK30"/>
    <mergeCell ref="AJ31:AK31"/>
    <mergeCell ref="AJ32:AK32"/>
    <mergeCell ref="AJ33:AK33"/>
    <mergeCell ref="AJ18:AK18"/>
    <mergeCell ref="AJ19:AK19"/>
    <mergeCell ref="AJ20:AK20"/>
    <mergeCell ref="AJ21:AK21"/>
    <mergeCell ref="AJ22:AK22"/>
    <mergeCell ref="AJ44:AK44"/>
    <mergeCell ref="AJ45:AK45"/>
    <mergeCell ref="AJ46:AK46"/>
    <mergeCell ref="AJ39:AK39"/>
    <mergeCell ref="AJ40:AK40"/>
    <mergeCell ref="AJ41:AK41"/>
    <mergeCell ref="AJ42:AK42"/>
    <mergeCell ref="AJ43:AK43"/>
    <mergeCell ref="AJ34:AK34"/>
    <mergeCell ref="AJ35:AK35"/>
    <mergeCell ref="AJ36:AK36"/>
    <mergeCell ref="AJ37:AK37"/>
    <mergeCell ref="AJ38:AK38"/>
  </mergeCells>
  <dataValidations count="1">
    <dataValidation type="list" allowBlank="1" showInputMessage="1" showErrorMessage="1" sqref="AL47:AR47" xr:uid="{AB47A2E7-08F0-4CE9-A8D1-CE2DBE38128C}">
      <formula1>"JA/NEE,JA,NEE"</formula1>
    </dataValidation>
  </dataValidations>
  <hyperlinks>
    <hyperlink ref="BF4:BI6" location="Wedstrijden!A1" display="Wedstrijdschema" xr:uid="{B4D76086-01BF-4334-B52A-49543B309206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IV52"/>
  <sheetViews>
    <sheetView workbookViewId="0">
      <selection activeCell="BF4" sqref="BF4:BI6"/>
    </sheetView>
  </sheetViews>
  <sheetFormatPr defaultRowHeight="13.8" x14ac:dyDescent="0.3"/>
  <cols>
    <col min="1" max="6" width="2.33203125" style="38" customWidth="1"/>
    <col min="7" max="7" width="3.33203125" style="38" customWidth="1"/>
    <col min="8" max="8" width="2.33203125" style="38" customWidth="1"/>
    <col min="9" max="9" width="3.33203125" style="38" customWidth="1"/>
    <col min="10" max="25" width="2.33203125" style="38" customWidth="1"/>
    <col min="26" max="28" width="2.109375" style="38" customWidth="1"/>
    <col min="29" max="29" width="3" style="38" customWidth="1"/>
    <col min="30" max="30" width="2.109375" style="39" customWidth="1"/>
    <col min="31" max="35" width="2.33203125" style="40" customWidth="1"/>
    <col min="36" max="39" width="2.33203125" style="38" customWidth="1"/>
    <col min="40" max="40" width="2.109375" style="38" customWidth="1"/>
    <col min="41" max="41" width="3.33203125" style="40" customWidth="1"/>
    <col min="42" max="43" width="2.109375" style="38" customWidth="1"/>
    <col min="44" max="44" width="3.33203125" style="40" customWidth="1"/>
    <col min="45" max="45" width="9.109375" style="38"/>
    <col min="46" max="56" width="9.109375" style="38" hidden="1" customWidth="1"/>
    <col min="57" max="62" width="9.109375" style="38"/>
    <col min="63" max="69" width="0" style="38" hidden="1" customWidth="1"/>
    <col min="70" max="256" width="9.109375" style="38"/>
    <col min="257" max="281" width="2.33203125" style="38" customWidth="1"/>
    <col min="282" max="286" width="2.109375" style="38" customWidth="1"/>
    <col min="287" max="295" width="2.33203125" style="38" customWidth="1"/>
    <col min="296" max="300" width="2.109375" style="38" customWidth="1"/>
    <col min="301" max="512" width="9.109375" style="38"/>
    <col min="513" max="537" width="2.33203125" style="38" customWidth="1"/>
    <col min="538" max="542" width="2.109375" style="38" customWidth="1"/>
    <col min="543" max="551" width="2.33203125" style="38" customWidth="1"/>
    <col min="552" max="556" width="2.109375" style="38" customWidth="1"/>
    <col min="557" max="768" width="9.109375" style="38"/>
    <col min="769" max="793" width="2.33203125" style="38" customWidth="1"/>
    <col min="794" max="798" width="2.109375" style="38" customWidth="1"/>
    <col min="799" max="807" width="2.33203125" style="38" customWidth="1"/>
    <col min="808" max="812" width="2.109375" style="38" customWidth="1"/>
    <col min="813" max="1024" width="9.109375" style="38"/>
    <col min="1025" max="1049" width="2.33203125" style="38" customWidth="1"/>
    <col min="1050" max="1054" width="2.109375" style="38" customWidth="1"/>
    <col min="1055" max="1063" width="2.33203125" style="38" customWidth="1"/>
    <col min="1064" max="1068" width="2.109375" style="38" customWidth="1"/>
    <col min="1069" max="1280" width="9.109375" style="38"/>
    <col min="1281" max="1305" width="2.33203125" style="38" customWidth="1"/>
    <col min="1306" max="1310" width="2.109375" style="38" customWidth="1"/>
    <col min="1311" max="1319" width="2.33203125" style="38" customWidth="1"/>
    <col min="1320" max="1324" width="2.109375" style="38" customWidth="1"/>
    <col min="1325" max="1536" width="9.109375" style="38"/>
    <col min="1537" max="1561" width="2.33203125" style="38" customWidth="1"/>
    <col min="1562" max="1566" width="2.109375" style="38" customWidth="1"/>
    <col min="1567" max="1575" width="2.33203125" style="38" customWidth="1"/>
    <col min="1576" max="1580" width="2.109375" style="38" customWidth="1"/>
    <col min="1581" max="1792" width="9.109375" style="38"/>
    <col min="1793" max="1817" width="2.33203125" style="38" customWidth="1"/>
    <col min="1818" max="1822" width="2.109375" style="38" customWidth="1"/>
    <col min="1823" max="1831" width="2.33203125" style="38" customWidth="1"/>
    <col min="1832" max="1836" width="2.109375" style="38" customWidth="1"/>
    <col min="1837" max="2048" width="9.109375" style="38"/>
    <col min="2049" max="2073" width="2.33203125" style="38" customWidth="1"/>
    <col min="2074" max="2078" width="2.109375" style="38" customWidth="1"/>
    <col min="2079" max="2087" width="2.33203125" style="38" customWidth="1"/>
    <col min="2088" max="2092" width="2.109375" style="38" customWidth="1"/>
    <col min="2093" max="2304" width="9.109375" style="38"/>
    <col min="2305" max="2329" width="2.33203125" style="38" customWidth="1"/>
    <col min="2330" max="2334" width="2.109375" style="38" customWidth="1"/>
    <col min="2335" max="2343" width="2.33203125" style="38" customWidth="1"/>
    <col min="2344" max="2348" width="2.109375" style="38" customWidth="1"/>
    <col min="2349" max="2560" width="9.109375" style="38"/>
    <col min="2561" max="2585" width="2.33203125" style="38" customWidth="1"/>
    <col min="2586" max="2590" width="2.109375" style="38" customWidth="1"/>
    <col min="2591" max="2599" width="2.33203125" style="38" customWidth="1"/>
    <col min="2600" max="2604" width="2.109375" style="38" customWidth="1"/>
    <col min="2605" max="2816" width="9.109375" style="38"/>
    <col min="2817" max="2841" width="2.33203125" style="38" customWidth="1"/>
    <col min="2842" max="2846" width="2.109375" style="38" customWidth="1"/>
    <col min="2847" max="2855" width="2.33203125" style="38" customWidth="1"/>
    <col min="2856" max="2860" width="2.109375" style="38" customWidth="1"/>
    <col min="2861" max="3072" width="9.109375" style="38"/>
    <col min="3073" max="3097" width="2.33203125" style="38" customWidth="1"/>
    <col min="3098" max="3102" width="2.109375" style="38" customWidth="1"/>
    <col min="3103" max="3111" width="2.33203125" style="38" customWidth="1"/>
    <col min="3112" max="3116" width="2.109375" style="38" customWidth="1"/>
    <col min="3117" max="3328" width="9.109375" style="38"/>
    <col min="3329" max="3353" width="2.33203125" style="38" customWidth="1"/>
    <col min="3354" max="3358" width="2.109375" style="38" customWidth="1"/>
    <col min="3359" max="3367" width="2.33203125" style="38" customWidth="1"/>
    <col min="3368" max="3372" width="2.109375" style="38" customWidth="1"/>
    <col min="3373" max="3584" width="9.109375" style="38"/>
    <col min="3585" max="3609" width="2.33203125" style="38" customWidth="1"/>
    <col min="3610" max="3614" width="2.109375" style="38" customWidth="1"/>
    <col min="3615" max="3623" width="2.33203125" style="38" customWidth="1"/>
    <col min="3624" max="3628" width="2.109375" style="38" customWidth="1"/>
    <col min="3629" max="3840" width="9.109375" style="38"/>
    <col min="3841" max="3865" width="2.33203125" style="38" customWidth="1"/>
    <col min="3866" max="3870" width="2.109375" style="38" customWidth="1"/>
    <col min="3871" max="3879" width="2.33203125" style="38" customWidth="1"/>
    <col min="3880" max="3884" width="2.109375" style="38" customWidth="1"/>
    <col min="3885" max="4096" width="9.109375" style="38"/>
    <col min="4097" max="4121" width="2.33203125" style="38" customWidth="1"/>
    <col min="4122" max="4126" width="2.109375" style="38" customWidth="1"/>
    <col min="4127" max="4135" width="2.33203125" style="38" customWidth="1"/>
    <col min="4136" max="4140" width="2.109375" style="38" customWidth="1"/>
    <col min="4141" max="4352" width="9.109375" style="38"/>
    <col min="4353" max="4377" width="2.33203125" style="38" customWidth="1"/>
    <col min="4378" max="4382" width="2.109375" style="38" customWidth="1"/>
    <col min="4383" max="4391" width="2.33203125" style="38" customWidth="1"/>
    <col min="4392" max="4396" width="2.109375" style="38" customWidth="1"/>
    <col min="4397" max="4608" width="9.109375" style="38"/>
    <col min="4609" max="4633" width="2.33203125" style="38" customWidth="1"/>
    <col min="4634" max="4638" width="2.109375" style="38" customWidth="1"/>
    <col min="4639" max="4647" width="2.33203125" style="38" customWidth="1"/>
    <col min="4648" max="4652" width="2.109375" style="38" customWidth="1"/>
    <col min="4653" max="4864" width="9.109375" style="38"/>
    <col min="4865" max="4889" width="2.33203125" style="38" customWidth="1"/>
    <col min="4890" max="4894" width="2.109375" style="38" customWidth="1"/>
    <col min="4895" max="4903" width="2.33203125" style="38" customWidth="1"/>
    <col min="4904" max="4908" width="2.109375" style="38" customWidth="1"/>
    <col min="4909" max="5120" width="9.109375" style="38"/>
    <col min="5121" max="5145" width="2.33203125" style="38" customWidth="1"/>
    <col min="5146" max="5150" width="2.109375" style="38" customWidth="1"/>
    <col min="5151" max="5159" width="2.33203125" style="38" customWidth="1"/>
    <col min="5160" max="5164" width="2.109375" style="38" customWidth="1"/>
    <col min="5165" max="5376" width="9.109375" style="38"/>
    <col min="5377" max="5401" width="2.33203125" style="38" customWidth="1"/>
    <col min="5402" max="5406" width="2.109375" style="38" customWidth="1"/>
    <col min="5407" max="5415" width="2.33203125" style="38" customWidth="1"/>
    <col min="5416" max="5420" width="2.109375" style="38" customWidth="1"/>
    <col min="5421" max="5632" width="9.109375" style="38"/>
    <col min="5633" max="5657" width="2.33203125" style="38" customWidth="1"/>
    <col min="5658" max="5662" width="2.109375" style="38" customWidth="1"/>
    <col min="5663" max="5671" width="2.33203125" style="38" customWidth="1"/>
    <col min="5672" max="5676" width="2.109375" style="38" customWidth="1"/>
    <col min="5677" max="5888" width="9.109375" style="38"/>
    <col min="5889" max="5913" width="2.33203125" style="38" customWidth="1"/>
    <col min="5914" max="5918" width="2.109375" style="38" customWidth="1"/>
    <col min="5919" max="5927" width="2.33203125" style="38" customWidth="1"/>
    <col min="5928" max="5932" width="2.109375" style="38" customWidth="1"/>
    <col min="5933" max="6144" width="9.109375" style="38"/>
    <col min="6145" max="6169" width="2.33203125" style="38" customWidth="1"/>
    <col min="6170" max="6174" width="2.109375" style="38" customWidth="1"/>
    <col min="6175" max="6183" width="2.33203125" style="38" customWidth="1"/>
    <col min="6184" max="6188" width="2.109375" style="38" customWidth="1"/>
    <col min="6189" max="6400" width="9.109375" style="38"/>
    <col min="6401" max="6425" width="2.33203125" style="38" customWidth="1"/>
    <col min="6426" max="6430" width="2.109375" style="38" customWidth="1"/>
    <col min="6431" max="6439" width="2.33203125" style="38" customWidth="1"/>
    <col min="6440" max="6444" width="2.109375" style="38" customWidth="1"/>
    <col min="6445" max="6656" width="9.109375" style="38"/>
    <col min="6657" max="6681" width="2.33203125" style="38" customWidth="1"/>
    <col min="6682" max="6686" width="2.109375" style="38" customWidth="1"/>
    <col min="6687" max="6695" width="2.33203125" style="38" customWidth="1"/>
    <col min="6696" max="6700" width="2.109375" style="38" customWidth="1"/>
    <col min="6701" max="6912" width="9.109375" style="38"/>
    <col min="6913" max="6937" width="2.33203125" style="38" customWidth="1"/>
    <col min="6938" max="6942" width="2.109375" style="38" customWidth="1"/>
    <col min="6943" max="6951" width="2.33203125" style="38" customWidth="1"/>
    <col min="6952" max="6956" width="2.109375" style="38" customWidth="1"/>
    <col min="6957" max="7168" width="9.109375" style="38"/>
    <col min="7169" max="7193" width="2.33203125" style="38" customWidth="1"/>
    <col min="7194" max="7198" width="2.109375" style="38" customWidth="1"/>
    <col min="7199" max="7207" width="2.33203125" style="38" customWidth="1"/>
    <col min="7208" max="7212" width="2.109375" style="38" customWidth="1"/>
    <col min="7213" max="7424" width="9.109375" style="38"/>
    <col min="7425" max="7449" width="2.33203125" style="38" customWidth="1"/>
    <col min="7450" max="7454" width="2.109375" style="38" customWidth="1"/>
    <col min="7455" max="7463" width="2.33203125" style="38" customWidth="1"/>
    <col min="7464" max="7468" width="2.109375" style="38" customWidth="1"/>
    <col min="7469" max="7680" width="9.109375" style="38"/>
    <col min="7681" max="7705" width="2.33203125" style="38" customWidth="1"/>
    <col min="7706" max="7710" width="2.109375" style="38" customWidth="1"/>
    <col min="7711" max="7719" width="2.33203125" style="38" customWidth="1"/>
    <col min="7720" max="7724" width="2.109375" style="38" customWidth="1"/>
    <col min="7725" max="7936" width="9.109375" style="38"/>
    <col min="7937" max="7961" width="2.33203125" style="38" customWidth="1"/>
    <col min="7962" max="7966" width="2.109375" style="38" customWidth="1"/>
    <col min="7967" max="7975" width="2.33203125" style="38" customWidth="1"/>
    <col min="7976" max="7980" width="2.109375" style="38" customWidth="1"/>
    <col min="7981" max="8192" width="9.109375" style="38"/>
    <col min="8193" max="8217" width="2.33203125" style="38" customWidth="1"/>
    <col min="8218" max="8222" width="2.109375" style="38" customWidth="1"/>
    <col min="8223" max="8231" width="2.33203125" style="38" customWidth="1"/>
    <col min="8232" max="8236" width="2.109375" style="38" customWidth="1"/>
    <col min="8237" max="8448" width="9.109375" style="38"/>
    <col min="8449" max="8473" width="2.33203125" style="38" customWidth="1"/>
    <col min="8474" max="8478" width="2.109375" style="38" customWidth="1"/>
    <col min="8479" max="8487" width="2.33203125" style="38" customWidth="1"/>
    <col min="8488" max="8492" width="2.109375" style="38" customWidth="1"/>
    <col min="8493" max="8704" width="9.109375" style="38"/>
    <col min="8705" max="8729" width="2.33203125" style="38" customWidth="1"/>
    <col min="8730" max="8734" width="2.109375" style="38" customWidth="1"/>
    <col min="8735" max="8743" width="2.33203125" style="38" customWidth="1"/>
    <col min="8744" max="8748" width="2.109375" style="38" customWidth="1"/>
    <col min="8749" max="8960" width="9.109375" style="38"/>
    <col min="8961" max="8985" width="2.33203125" style="38" customWidth="1"/>
    <col min="8986" max="8990" width="2.109375" style="38" customWidth="1"/>
    <col min="8991" max="8999" width="2.33203125" style="38" customWidth="1"/>
    <col min="9000" max="9004" width="2.109375" style="38" customWidth="1"/>
    <col min="9005" max="9216" width="9.109375" style="38"/>
    <col min="9217" max="9241" width="2.33203125" style="38" customWidth="1"/>
    <col min="9242" max="9246" width="2.109375" style="38" customWidth="1"/>
    <col min="9247" max="9255" width="2.33203125" style="38" customWidth="1"/>
    <col min="9256" max="9260" width="2.109375" style="38" customWidth="1"/>
    <col min="9261" max="9472" width="9.109375" style="38"/>
    <col min="9473" max="9497" width="2.33203125" style="38" customWidth="1"/>
    <col min="9498" max="9502" width="2.109375" style="38" customWidth="1"/>
    <col min="9503" max="9511" width="2.33203125" style="38" customWidth="1"/>
    <col min="9512" max="9516" width="2.109375" style="38" customWidth="1"/>
    <col min="9517" max="9728" width="9.109375" style="38"/>
    <col min="9729" max="9753" width="2.33203125" style="38" customWidth="1"/>
    <col min="9754" max="9758" width="2.109375" style="38" customWidth="1"/>
    <col min="9759" max="9767" width="2.33203125" style="38" customWidth="1"/>
    <col min="9768" max="9772" width="2.109375" style="38" customWidth="1"/>
    <col min="9773" max="9984" width="9.109375" style="38"/>
    <col min="9985" max="10009" width="2.33203125" style="38" customWidth="1"/>
    <col min="10010" max="10014" width="2.109375" style="38" customWidth="1"/>
    <col min="10015" max="10023" width="2.33203125" style="38" customWidth="1"/>
    <col min="10024" max="10028" width="2.109375" style="38" customWidth="1"/>
    <col min="10029" max="10240" width="9.109375" style="38"/>
    <col min="10241" max="10265" width="2.33203125" style="38" customWidth="1"/>
    <col min="10266" max="10270" width="2.109375" style="38" customWidth="1"/>
    <col min="10271" max="10279" width="2.33203125" style="38" customWidth="1"/>
    <col min="10280" max="10284" width="2.109375" style="38" customWidth="1"/>
    <col min="10285" max="10496" width="9.109375" style="38"/>
    <col min="10497" max="10521" width="2.33203125" style="38" customWidth="1"/>
    <col min="10522" max="10526" width="2.109375" style="38" customWidth="1"/>
    <col min="10527" max="10535" width="2.33203125" style="38" customWidth="1"/>
    <col min="10536" max="10540" width="2.109375" style="38" customWidth="1"/>
    <col min="10541" max="10752" width="9.109375" style="38"/>
    <col min="10753" max="10777" width="2.33203125" style="38" customWidth="1"/>
    <col min="10778" max="10782" width="2.109375" style="38" customWidth="1"/>
    <col min="10783" max="10791" width="2.33203125" style="38" customWidth="1"/>
    <col min="10792" max="10796" width="2.109375" style="38" customWidth="1"/>
    <col min="10797" max="11008" width="9.109375" style="38"/>
    <col min="11009" max="11033" width="2.33203125" style="38" customWidth="1"/>
    <col min="11034" max="11038" width="2.109375" style="38" customWidth="1"/>
    <col min="11039" max="11047" width="2.33203125" style="38" customWidth="1"/>
    <col min="11048" max="11052" width="2.109375" style="38" customWidth="1"/>
    <col min="11053" max="11264" width="9.109375" style="38"/>
    <col min="11265" max="11289" width="2.33203125" style="38" customWidth="1"/>
    <col min="11290" max="11294" width="2.109375" style="38" customWidth="1"/>
    <col min="11295" max="11303" width="2.33203125" style="38" customWidth="1"/>
    <col min="11304" max="11308" width="2.109375" style="38" customWidth="1"/>
    <col min="11309" max="11520" width="9.109375" style="38"/>
    <col min="11521" max="11545" width="2.33203125" style="38" customWidth="1"/>
    <col min="11546" max="11550" width="2.109375" style="38" customWidth="1"/>
    <col min="11551" max="11559" width="2.33203125" style="38" customWidth="1"/>
    <col min="11560" max="11564" width="2.109375" style="38" customWidth="1"/>
    <col min="11565" max="11776" width="9.109375" style="38"/>
    <col min="11777" max="11801" width="2.33203125" style="38" customWidth="1"/>
    <col min="11802" max="11806" width="2.109375" style="38" customWidth="1"/>
    <col min="11807" max="11815" width="2.33203125" style="38" customWidth="1"/>
    <col min="11816" max="11820" width="2.109375" style="38" customWidth="1"/>
    <col min="11821" max="12032" width="9.109375" style="38"/>
    <col min="12033" max="12057" width="2.33203125" style="38" customWidth="1"/>
    <col min="12058" max="12062" width="2.109375" style="38" customWidth="1"/>
    <col min="12063" max="12071" width="2.33203125" style="38" customWidth="1"/>
    <col min="12072" max="12076" width="2.109375" style="38" customWidth="1"/>
    <col min="12077" max="12288" width="9.109375" style="38"/>
    <col min="12289" max="12313" width="2.33203125" style="38" customWidth="1"/>
    <col min="12314" max="12318" width="2.109375" style="38" customWidth="1"/>
    <col min="12319" max="12327" width="2.33203125" style="38" customWidth="1"/>
    <col min="12328" max="12332" width="2.109375" style="38" customWidth="1"/>
    <col min="12333" max="12544" width="9.109375" style="38"/>
    <col min="12545" max="12569" width="2.33203125" style="38" customWidth="1"/>
    <col min="12570" max="12574" width="2.109375" style="38" customWidth="1"/>
    <col min="12575" max="12583" width="2.33203125" style="38" customWidth="1"/>
    <col min="12584" max="12588" width="2.109375" style="38" customWidth="1"/>
    <col min="12589" max="12800" width="9.109375" style="38"/>
    <col min="12801" max="12825" width="2.33203125" style="38" customWidth="1"/>
    <col min="12826" max="12830" width="2.109375" style="38" customWidth="1"/>
    <col min="12831" max="12839" width="2.33203125" style="38" customWidth="1"/>
    <col min="12840" max="12844" width="2.109375" style="38" customWidth="1"/>
    <col min="12845" max="13056" width="9.109375" style="38"/>
    <col min="13057" max="13081" width="2.33203125" style="38" customWidth="1"/>
    <col min="13082" max="13086" width="2.109375" style="38" customWidth="1"/>
    <col min="13087" max="13095" width="2.33203125" style="38" customWidth="1"/>
    <col min="13096" max="13100" width="2.109375" style="38" customWidth="1"/>
    <col min="13101" max="13312" width="9.109375" style="38"/>
    <col min="13313" max="13337" width="2.33203125" style="38" customWidth="1"/>
    <col min="13338" max="13342" width="2.109375" style="38" customWidth="1"/>
    <col min="13343" max="13351" width="2.33203125" style="38" customWidth="1"/>
    <col min="13352" max="13356" width="2.109375" style="38" customWidth="1"/>
    <col min="13357" max="13568" width="9.109375" style="38"/>
    <col min="13569" max="13593" width="2.33203125" style="38" customWidth="1"/>
    <col min="13594" max="13598" width="2.109375" style="38" customWidth="1"/>
    <col min="13599" max="13607" width="2.33203125" style="38" customWidth="1"/>
    <col min="13608" max="13612" width="2.109375" style="38" customWidth="1"/>
    <col min="13613" max="13824" width="9.109375" style="38"/>
    <col min="13825" max="13849" width="2.33203125" style="38" customWidth="1"/>
    <col min="13850" max="13854" width="2.109375" style="38" customWidth="1"/>
    <col min="13855" max="13863" width="2.33203125" style="38" customWidth="1"/>
    <col min="13864" max="13868" width="2.109375" style="38" customWidth="1"/>
    <col min="13869" max="14080" width="9.109375" style="38"/>
    <col min="14081" max="14105" width="2.33203125" style="38" customWidth="1"/>
    <col min="14106" max="14110" width="2.109375" style="38" customWidth="1"/>
    <col min="14111" max="14119" width="2.33203125" style="38" customWidth="1"/>
    <col min="14120" max="14124" width="2.109375" style="38" customWidth="1"/>
    <col min="14125" max="14336" width="9.109375" style="38"/>
    <col min="14337" max="14361" width="2.33203125" style="38" customWidth="1"/>
    <col min="14362" max="14366" width="2.109375" style="38" customWidth="1"/>
    <col min="14367" max="14375" width="2.33203125" style="38" customWidth="1"/>
    <col min="14376" max="14380" width="2.109375" style="38" customWidth="1"/>
    <col min="14381" max="14592" width="9.109375" style="38"/>
    <col min="14593" max="14617" width="2.33203125" style="38" customWidth="1"/>
    <col min="14618" max="14622" width="2.109375" style="38" customWidth="1"/>
    <col min="14623" max="14631" width="2.33203125" style="38" customWidth="1"/>
    <col min="14632" max="14636" width="2.109375" style="38" customWidth="1"/>
    <col min="14637" max="14848" width="9.109375" style="38"/>
    <col min="14849" max="14873" width="2.33203125" style="38" customWidth="1"/>
    <col min="14874" max="14878" width="2.109375" style="38" customWidth="1"/>
    <col min="14879" max="14887" width="2.33203125" style="38" customWidth="1"/>
    <col min="14888" max="14892" width="2.109375" style="38" customWidth="1"/>
    <col min="14893" max="15104" width="9.109375" style="38"/>
    <col min="15105" max="15129" width="2.33203125" style="38" customWidth="1"/>
    <col min="15130" max="15134" width="2.109375" style="38" customWidth="1"/>
    <col min="15135" max="15143" width="2.33203125" style="38" customWidth="1"/>
    <col min="15144" max="15148" width="2.109375" style="38" customWidth="1"/>
    <col min="15149" max="15360" width="9.109375" style="38"/>
    <col min="15361" max="15385" width="2.33203125" style="38" customWidth="1"/>
    <col min="15386" max="15390" width="2.109375" style="38" customWidth="1"/>
    <col min="15391" max="15399" width="2.33203125" style="38" customWidth="1"/>
    <col min="15400" max="15404" width="2.109375" style="38" customWidth="1"/>
    <col min="15405" max="15616" width="9.109375" style="38"/>
    <col min="15617" max="15641" width="2.33203125" style="38" customWidth="1"/>
    <col min="15642" max="15646" width="2.109375" style="38" customWidth="1"/>
    <col min="15647" max="15655" width="2.33203125" style="38" customWidth="1"/>
    <col min="15656" max="15660" width="2.109375" style="38" customWidth="1"/>
    <col min="15661" max="15872" width="9.109375" style="38"/>
    <col min="15873" max="15897" width="2.33203125" style="38" customWidth="1"/>
    <col min="15898" max="15902" width="2.109375" style="38" customWidth="1"/>
    <col min="15903" max="15911" width="2.33203125" style="38" customWidth="1"/>
    <col min="15912" max="15916" width="2.109375" style="38" customWidth="1"/>
    <col min="15917" max="16128" width="9.109375" style="38"/>
    <col min="16129" max="16153" width="2.33203125" style="38" customWidth="1"/>
    <col min="16154" max="16158" width="2.109375" style="38" customWidth="1"/>
    <col min="16159" max="16167" width="2.33203125" style="38" customWidth="1"/>
    <col min="16168" max="16172" width="2.109375" style="38" customWidth="1"/>
    <col min="16173" max="16384" width="9.109375" style="38"/>
  </cols>
  <sheetData>
    <row r="1" spans="1:256" ht="20.399999999999999" x14ac:dyDescent="0.3">
      <c r="A1" s="37" t="s">
        <v>40</v>
      </c>
      <c r="AO1" s="41">
        <v>0</v>
      </c>
      <c r="AP1" s="42"/>
      <c r="AQ1" s="42"/>
      <c r="AR1" s="41">
        <v>0</v>
      </c>
      <c r="AV1" s="43">
        <v>1.3888888888888888E-2</v>
      </c>
    </row>
    <row r="2" spans="1:256" x14ac:dyDescent="0.3">
      <c r="A2" s="38" t="s">
        <v>42</v>
      </c>
      <c r="E2" s="38" t="s">
        <v>76</v>
      </c>
      <c r="P2" s="44" t="s">
        <v>22</v>
      </c>
      <c r="Q2" s="45"/>
      <c r="R2" s="45"/>
      <c r="S2" s="45"/>
      <c r="T2" s="45"/>
      <c r="U2" s="45"/>
      <c r="V2" s="45"/>
      <c r="W2" s="45" t="s">
        <v>3</v>
      </c>
      <c r="X2" s="45"/>
      <c r="Y2" s="46" t="s">
        <v>41</v>
      </c>
      <c r="Z2" s="45"/>
      <c r="AA2" s="45"/>
      <c r="AB2" s="45"/>
      <c r="AC2" s="45"/>
      <c r="AD2" s="47"/>
      <c r="AE2" s="48"/>
      <c r="AF2" s="48"/>
      <c r="AG2" s="49"/>
    </row>
    <row r="3" spans="1:256" ht="15" thickBot="1" x14ac:dyDescent="0.35">
      <c r="A3" s="38" t="s">
        <v>19</v>
      </c>
      <c r="D3" s="415">
        <f>Wedstrijden!I2</f>
        <v>45732</v>
      </c>
      <c r="E3" s="416"/>
      <c r="F3" s="416"/>
      <c r="G3" s="416"/>
      <c r="H3" s="416"/>
      <c r="I3" s="416"/>
      <c r="J3" s="416"/>
      <c r="K3" s="416"/>
      <c r="L3" s="416"/>
      <c r="M3" s="416"/>
      <c r="N3" s="417"/>
      <c r="P3" s="50" t="s">
        <v>18</v>
      </c>
      <c r="Q3" s="51" t="s">
        <v>43</v>
      </c>
      <c r="W3" s="38" t="s">
        <v>0</v>
      </c>
      <c r="Y3" s="51" t="s">
        <v>44</v>
      </c>
      <c r="AG3" s="52"/>
    </row>
    <row r="4" spans="1:256" x14ac:dyDescent="0.3">
      <c r="A4" s="38" t="s">
        <v>20</v>
      </c>
      <c r="D4" s="418">
        <v>3</v>
      </c>
      <c r="E4" s="418"/>
      <c r="F4" s="53"/>
      <c r="G4" s="419">
        <f>VLOOKUP(D4,Wedstrijden!A6:B57,2,0)</f>
        <v>0.53472222222222221</v>
      </c>
      <c r="H4" s="419"/>
      <c r="I4" s="419"/>
      <c r="J4" s="54" t="s">
        <v>16</v>
      </c>
      <c r="K4" s="419">
        <f>G4+AV1</f>
        <v>0.54861111111111105</v>
      </c>
      <c r="L4" s="419"/>
      <c r="M4" s="419"/>
      <c r="N4" s="53"/>
      <c r="P4" s="50" t="s">
        <v>17</v>
      </c>
      <c r="Q4" s="51" t="s">
        <v>45</v>
      </c>
      <c r="W4" s="38" t="s">
        <v>9</v>
      </c>
      <c r="Y4" s="51" t="s">
        <v>46</v>
      </c>
      <c r="AG4" s="52"/>
      <c r="BF4" s="406" t="s">
        <v>102</v>
      </c>
      <c r="BG4" s="407"/>
      <c r="BH4" s="407"/>
      <c r="BI4" s="408"/>
    </row>
    <row r="5" spans="1:256" x14ac:dyDescent="0.3">
      <c r="A5" s="38" t="s">
        <v>164</v>
      </c>
      <c r="D5" s="260" t="str">
        <f>VLOOKUP(D4,Wedstrijden!A6:D20,4,0)</f>
        <v>B</v>
      </c>
      <c r="P5" s="50" t="s">
        <v>10</v>
      </c>
      <c r="Q5" s="51" t="s">
        <v>47</v>
      </c>
      <c r="W5" s="38" t="s">
        <v>12</v>
      </c>
      <c r="Y5" s="51" t="s">
        <v>48</v>
      </c>
      <c r="AG5" s="52"/>
      <c r="BF5" s="409"/>
      <c r="BG5" s="410"/>
      <c r="BH5" s="410"/>
      <c r="BI5" s="411"/>
    </row>
    <row r="6" spans="1:256" ht="14.4" thickBot="1" x14ac:dyDescent="0.2">
      <c r="A6" s="38" t="s">
        <v>21</v>
      </c>
      <c r="D6" s="55" t="str">
        <f>Wedstrijden!K2</f>
        <v>Den Bosch</v>
      </c>
      <c r="P6" s="50" t="s">
        <v>11</v>
      </c>
      <c r="Q6" s="51" t="s">
        <v>49</v>
      </c>
      <c r="W6" s="38" t="s">
        <v>13</v>
      </c>
      <c r="Y6" s="51" t="s">
        <v>50</v>
      </c>
      <c r="AG6" s="52"/>
      <c r="AH6" s="354" t="s">
        <v>51</v>
      </c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BF6" s="412"/>
      <c r="BG6" s="413"/>
      <c r="BH6" s="413"/>
      <c r="BI6" s="414"/>
    </row>
    <row r="7" spans="1:256" x14ac:dyDescent="0.2">
      <c r="A7" s="56" t="s">
        <v>52</v>
      </c>
      <c r="B7" s="57"/>
      <c r="C7" s="57"/>
      <c r="D7" s="57"/>
      <c r="E7" s="58" t="s">
        <v>53</v>
      </c>
      <c r="F7" s="57"/>
      <c r="G7" s="59" t="str">
        <f>VLOOKUP(D4,Wedstrijden!A6:L57,5,0)</f>
        <v>Gesposs Geel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 t="s">
        <v>54</v>
      </c>
      <c r="X7" s="57"/>
      <c r="Y7" s="57"/>
      <c r="Z7" s="58" t="s">
        <v>55</v>
      </c>
      <c r="AA7" s="58"/>
      <c r="AB7" s="57"/>
      <c r="AC7" s="59" t="str">
        <f>VLOOKUP(D4,Wedstrijden!A6:L57,9,0)</f>
        <v>VZ&amp;PC Nautilus 2</v>
      </c>
      <c r="AD7" s="60"/>
      <c r="AE7" s="61"/>
      <c r="AF7" s="61"/>
      <c r="AG7" s="61"/>
      <c r="AH7" s="61"/>
      <c r="AI7" s="61"/>
      <c r="AJ7" s="57"/>
      <c r="AK7" s="57"/>
      <c r="AL7" s="57"/>
      <c r="AM7" s="57"/>
      <c r="AN7" s="57"/>
      <c r="AO7" s="61"/>
      <c r="AP7" s="57"/>
      <c r="AQ7" s="57"/>
      <c r="AR7" s="62"/>
    </row>
    <row r="8" spans="1:256" x14ac:dyDescent="0.3">
      <c r="A8" s="63" t="s">
        <v>56</v>
      </c>
      <c r="B8" s="64"/>
      <c r="C8" s="64"/>
      <c r="D8" s="64"/>
      <c r="E8" s="64"/>
      <c r="F8" s="64"/>
      <c r="G8" s="64"/>
      <c r="H8" s="64"/>
      <c r="I8" s="64"/>
      <c r="J8" s="65" t="str">
        <f>VLOOKUP(D4,Wedstrijden!A6:P343,13,0)</f>
        <v>Gea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 t="s">
        <v>57</v>
      </c>
      <c r="X8" s="64"/>
      <c r="Y8" s="64"/>
      <c r="Z8" s="66" t="str">
        <f>VLOOKUP(D4,Wedstrijden!A6:N170,14,0)</f>
        <v>Martijn</v>
      </c>
      <c r="AA8" s="64"/>
      <c r="AB8" s="64"/>
      <c r="AC8" s="64"/>
      <c r="AD8" s="67"/>
      <c r="AE8" s="68"/>
      <c r="AF8" s="68"/>
      <c r="AG8" s="68"/>
      <c r="AH8" s="68"/>
      <c r="AI8" s="68"/>
      <c r="AJ8" s="69" t="s">
        <v>17</v>
      </c>
      <c r="AK8" s="64"/>
      <c r="AL8" s="64"/>
      <c r="AM8" s="64"/>
      <c r="AN8" s="64"/>
      <c r="AO8" s="68"/>
      <c r="AP8" s="64"/>
      <c r="AQ8" s="64"/>
      <c r="AR8" s="70"/>
    </row>
    <row r="9" spans="1:256" ht="14.4" thickBot="1" x14ac:dyDescent="0.35">
      <c r="A9" s="71" t="s">
        <v>58</v>
      </c>
      <c r="B9" s="72"/>
      <c r="C9" s="72"/>
      <c r="D9" s="72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 t="s">
        <v>59</v>
      </c>
      <c r="X9" s="72"/>
      <c r="Y9" s="72"/>
      <c r="Z9" s="72"/>
      <c r="AA9" s="72"/>
      <c r="AB9" s="73"/>
      <c r="AC9" s="73"/>
      <c r="AD9" s="75"/>
      <c r="AE9" s="76"/>
      <c r="AF9" s="76"/>
      <c r="AG9" s="76"/>
      <c r="AH9" s="76"/>
      <c r="AI9" s="76"/>
      <c r="AJ9" s="73"/>
      <c r="AK9" s="73"/>
      <c r="AL9" s="73"/>
      <c r="AM9" s="73"/>
      <c r="AN9" s="73"/>
      <c r="AO9" s="76"/>
      <c r="AP9" s="73"/>
      <c r="AQ9" s="73"/>
      <c r="AR9" s="77"/>
    </row>
    <row r="10" spans="1:256" ht="15" x14ac:dyDescent="0.3">
      <c r="A10" s="78" t="s">
        <v>60</v>
      </c>
      <c r="B10" s="79"/>
      <c r="C10" s="79"/>
      <c r="D10" s="79"/>
      <c r="E10" s="79"/>
      <c r="F10" s="356" t="str">
        <f>+G7</f>
        <v>Gesposs Geel</v>
      </c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7"/>
      <c r="Z10" s="362" t="s">
        <v>8</v>
      </c>
      <c r="AA10" s="363"/>
      <c r="AB10" s="363"/>
      <c r="AC10" s="363"/>
      <c r="AD10" s="364"/>
      <c r="AE10" s="80"/>
      <c r="AF10" s="80"/>
      <c r="AG10" s="80"/>
      <c r="AH10" s="80" t="s">
        <v>61</v>
      </c>
      <c r="AI10" s="80" t="s">
        <v>61</v>
      </c>
      <c r="AJ10" s="371" t="s">
        <v>14</v>
      </c>
      <c r="AK10" s="372"/>
      <c r="AL10" s="377" t="s">
        <v>62</v>
      </c>
      <c r="AM10" s="378"/>
      <c r="AN10" s="383" t="s">
        <v>15</v>
      </c>
      <c r="AO10" s="384"/>
      <c r="AP10" s="384"/>
      <c r="AQ10" s="384"/>
      <c r="AR10" s="385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2" t="s">
        <v>136</v>
      </c>
      <c r="BL10" s="82" t="str">
        <f>CONCATENATE($BL$12&amp;BK10&amp;"x")</f>
        <v>swwx</v>
      </c>
      <c r="BM10" s="82" t="str">
        <f>CONCATENATE($BM$12&amp;BK10&amp;"x")</f>
        <v>dwx</v>
      </c>
      <c r="BN10" s="82" t="str">
        <f>CONCATENATE($BN$12&amp;BK10&amp;"x")</f>
        <v>pwx</v>
      </c>
      <c r="BO10" s="82" t="str">
        <f>CONCATENATE($BO$12&amp;BK10&amp;"x")</f>
        <v>umvwx</v>
      </c>
      <c r="BP10" s="82" t="str">
        <f>CONCATENATE($BP$12&amp;BK10&amp;"x")</f>
        <v>uzvwx</v>
      </c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1" spans="1:256" x14ac:dyDescent="0.3">
      <c r="A11" s="393" t="s">
        <v>7</v>
      </c>
      <c r="B11" s="394"/>
      <c r="C11" s="394"/>
      <c r="D11" s="394"/>
      <c r="E11" s="81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  <c r="Z11" s="365"/>
      <c r="AA11" s="366"/>
      <c r="AB11" s="366"/>
      <c r="AC11" s="366"/>
      <c r="AD11" s="367"/>
      <c r="AE11" s="83" t="s">
        <v>63</v>
      </c>
      <c r="AF11" s="83"/>
      <c r="AG11" s="83"/>
      <c r="AH11" s="83" t="s">
        <v>64</v>
      </c>
      <c r="AI11" s="83" t="s">
        <v>65</v>
      </c>
      <c r="AJ11" s="373"/>
      <c r="AK11" s="374"/>
      <c r="AL11" s="379"/>
      <c r="AM11" s="380"/>
      <c r="AN11" s="386"/>
      <c r="AO11" s="387"/>
      <c r="AP11" s="387"/>
      <c r="AQ11" s="387"/>
      <c r="AR11" s="388"/>
      <c r="AS11" s="81"/>
      <c r="AT11" s="81"/>
      <c r="AU11" s="81" t="s">
        <v>17</v>
      </c>
      <c r="AV11" s="81" t="s">
        <v>18</v>
      </c>
      <c r="AW11" s="81" t="s">
        <v>77</v>
      </c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2" t="s">
        <v>142</v>
      </c>
      <c r="BL11" s="82" t="str">
        <f>CONCATENATE($BL$12&amp;BK11&amp;"x")</f>
        <v>swbx</v>
      </c>
      <c r="BM11" s="82" t="str">
        <f>CONCATENATE($BM$12&amp;BK11&amp;"x")</f>
        <v>dbx</v>
      </c>
      <c r="BN11" s="82" t="str">
        <f>CONCATENATE($BN$12&amp;BK11&amp;"x")</f>
        <v>pbx</v>
      </c>
      <c r="BO11" s="82" t="str">
        <f>CONCATENATE($BO$12&amp;BK11&amp;"x")</f>
        <v>umvbx</v>
      </c>
      <c r="BP11" s="82" t="str">
        <f>CONCATENATE($BP$12&amp;BK11&amp;"x")</f>
        <v>uzvbx</v>
      </c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</row>
    <row r="12" spans="1:256" ht="18" x14ac:dyDescent="0.35">
      <c r="A12" s="395"/>
      <c r="B12" s="396"/>
      <c r="C12" s="396"/>
      <c r="D12" s="394"/>
      <c r="E12" s="81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1"/>
      <c r="Z12" s="368"/>
      <c r="AA12" s="369"/>
      <c r="AB12" s="369"/>
      <c r="AC12" s="369"/>
      <c r="AD12" s="370"/>
      <c r="AE12" s="84" t="s">
        <v>17</v>
      </c>
      <c r="AF12" s="84" t="s">
        <v>10</v>
      </c>
      <c r="AG12" s="84" t="s">
        <v>11</v>
      </c>
      <c r="AH12" s="84" t="s">
        <v>66</v>
      </c>
      <c r="AI12" s="84" t="s">
        <v>66</v>
      </c>
      <c r="AJ12" s="375"/>
      <c r="AK12" s="376"/>
      <c r="AL12" s="381"/>
      <c r="AM12" s="382"/>
      <c r="AN12" s="389" t="s">
        <v>17</v>
      </c>
      <c r="AO12" s="369"/>
      <c r="AP12" s="85"/>
      <c r="AQ12" s="369" t="s">
        <v>18</v>
      </c>
      <c r="AR12" s="390"/>
      <c r="AS12" s="81"/>
      <c r="AT12" s="81"/>
      <c r="AU12" s="81" t="s">
        <v>78</v>
      </c>
      <c r="AV12" s="81" t="s">
        <v>79</v>
      </c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 t="s">
        <v>138</v>
      </c>
      <c r="BM12" s="81" t="s">
        <v>139</v>
      </c>
      <c r="BN12" s="81" t="s">
        <v>79</v>
      </c>
      <c r="BO12" s="81" t="s">
        <v>140</v>
      </c>
      <c r="BP12" s="81" t="s">
        <v>141</v>
      </c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</row>
    <row r="13" spans="1:256" ht="15.6" x14ac:dyDescent="0.3">
      <c r="A13" s="86" t="s">
        <v>0</v>
      </c>
      <c r="B13" s="87" t="s">
        <v>1</v>
      </c>
      <c r="C13" s="88"/>
      <c r="D13" s="89"/>
      <c r="E13" s="88" t="s">
        <v>2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90"/>
      <c r="V13" s="91" t="s">
        <v>3</v>
      </c>
      <c r="W13" s="91" t="s">
        <v>4</v>
      </c>
      <c r="X13" s="91" t="s">
        <v>5</v>
      </c>
      <c r="Y13" s="92" t="s">
        <v>6</v>
      </c>
      <c r="Z13" s="93"/>
      <c r="AA13" s="94">
        <v>2</v>
      </c>
      <c r="AB13" s="95" t="s">
        <v>16</v>
      </c>
      <c r="AC13" s="94">
        <v>4</v>
      </c>
      <c r="AD13" s="96">
        <v>3</v>
      </c>
      <c r="AE13" s="97"/>
      <c r="AF13" s="97"/>
      <c r="AG13" s="98" t="s">
        <v>265</v>
      </c>
      <c r="AH13" s="99"/>
      <c r="AI13" s="99"/>
      <c r="AJ13" s="391" t="s">
        <v>18</v>
      </c>
      <c r="AK13" s="392"/>
      <c r="AL13" s="401">
        <v>10</v>
      </c>
      <c r="AM13" s="402"/>
      <c r="AN13" s="100"/>
      <c r="AO13" s="101">
        <f>IF(BQ13="","",IF(BQ13=$BL$10,"2"+AO1,IF(BQ13=$BM$10,"1"+AO1,IF(BQ13=$BN$10,"0"+AO1,IF(BQ13=$BO$10,"0"+AO1,IF(BQ13=$BP$10,"0"+AO1,"0"+AO1))))))</f>
        <v>0</v>
      </c>
      <c r="AP13" s="95" t="s">
        <v>16</v>
      </c>
      <c r="AQ13" s="102"/>
      <c r="AR13" s="103">
        <f>IF(BQ13="","",IF(BQ13=$BL$11,"2"+AR1,IF(BQ13=$BM$11,"1"+AR1,IF(BQ13=$BN$11,"0"+AR1,IF(BQ13=$BO$11,"0"+AR1,IF(BQ13=$BP$11,"0"+AR1,"0"+AR1))))))</f>
        <v>1</v>
      </c>
      <c r="AY13" s="38" t="str">
        <f>CONCATENATE(AJ13&amp;AL13)</f>
        <v>B10</v>
      </c>
      <c r="AZ13" s="38" t="str">
        <f>IF(AE13=$AW$11,"2","0")</f>
        <v>0</v>
      </c>
      <c r="BA13" s="38" t="str">
        <f>IF(AG13=$AW$11,"1","0")</f>
        <v>1</v>
      </c>
      <c r="BB13" s="38" t="str">
        <f>IF(AF13=$AW$11,"1","0")</f>
        <v>0</v>
      </c>
      <c r="BC13" s="38">
        <f>AZ13+BA13</f>
        <v>1</v>
      </c>
      <c r="BD13" s="38">
        <f>BB13+0</f>
        <v>0</v>
      </c>
      <c r="BL13" s="38" t="str">
        <f>IF(AE13="","",CONCATENATE($BL$12&amp;AJ13&amp;AE13))</f>
        <v/>
      </c>
      <c r="BM13" s="38" t="str">
        <f>IF(AG13="","",CONCATENATE($BM$12&amp;AJ13&amp;AG13))</f>
        <v>dBX</v>
      </c>
      <c r="BN13" s="38" t="str">
        <f>IF(AF13="","",CONCATENATE($BN$12&amp;AJ13,AF13))</f>
        <v/>
      </c>
      <c r="BO13" s="38" t="str">
        <f>IF(AH13="","",CONCATENATE($BO$12&amp;AJ13&amp;AH13))</f>
        <v/>
      </c>
      <c r="BP13" s="38" t="str">
        <f>IF(AI13="","",CONCATENATE($BP$12&amp;AJ13&amp;AI13))</f>
        <v/>
      </c>
      <c r="BQ13" s="38" t="str">
        <f>CONCATENATE(BL13&amp;BM13&amp;BN13&amp;BO13&amp;BP13)</f>
        <v>dBX</v>
      </c>
    </row>
    <row r="14" spans="1:256" ht="15.6" x14ac:dyDescent="0.3">
      <c r="A14" s="104" t="s">
        <v>265</v>
      </c>
      <c r="B14" s="397">
        <f>IF(ISBLANK(HLOOKUP($F$10,spelerslijsten!$B$1:$J$22,4,FALSE)),"",HLOOKUP($F$10,spelerslijsten!$B$1:$J$22,4,FALSE))</f>
        <v>2</v>
      </c>
      <c r="C14" s="398"/>
      <c r="D14" s="105"/>
      <c r="E14" s="106" t="str">
        <f>IF(ISBLANK(HLOOKUP($F$10,spelerslijsten!$B$1:$J$22,3,FALSE)),"",HLOOKUP($F$10,spelerslijsten!$B$1:$J$22,3,FALSE))</f>
        <v>Jasper van Houtum</v>
      </c>
      <c r="F14" s="107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8">
        <f t="shared" ref="V14:V20" si="0">SUMIF($AY$13:$AY$46,AT14,$BC$13:$BC$46)</f>
        <v>0</v>
      </c>
      <c r="W14" s="109" t="str">
        <f>IF(AU14&gt;0,"x","")</f>
        <v/>
      </c>
      <c r="X14" s="110" t="str">
        <f>IF(AU14&gt;1,"x","")</f>
        <v/>
      </c>
      <c r="Y14" s="103" t="str">
        <f>IF(AU14&gt;2,"x","")</f>
        <v/>
      </c>
      <c r="Z14" s="111"/>
      <c r="AA14" s="112">
        <v>7</v>
      </c>
      <c r="AB14" s="113" t="str">
        <f>+AB13</f>
        <v>-</v>
      </c>
      <c r="AC14" s="112">
        <v>5</v>
      </c>
      <c r="AD14" s="114">
        <v>0</v>
      </c>
      <c r="AE14" s="115"/>
      <c r="AF14" s="115"/>
      <c r="AG14" s="116" t="s">
        <v>265</v>
      </c>
      <c r="AH14" s="117"/>
      <c r="AI14" s="117"/>
      <c r="AJ14" s="342" t="s">
        <v>17</v>
      </c>
      <c r="AK14" s="343"/>
      <c r="AL14" s="346">
        <v>10</v>
      </c>
      <c r="AM14" s="347"/>
      <c r="AN14" s="118"/>
      <c r="AO14" s="101">
        <f>IF(BQ14="","",IF(BQ14=$BL$10,"2"+AO13,IF(BQ14=$BM$10,"1"+AO13,IF(BQ14=$BN$10,"0"+AO13,IF(BQ14=$BO$10,"0"+AO13,IF(BQ14=$BP$10,"0"+AO13,"0"+AO13))))))</f>
        <v>1</v>
      </c>
      <c r="AP14" s="113" t="str">
        <f>+AP13</f>
        <v>-</v>
      </c>
      <c r="AQ14" s="119"/>
      <c r="AR14" s="103">
        <f>IF(BQ14="","",IF(BQ14=$BL$11,"2"+AR13,IF(BQ14=$BM$11,"1"+AR13,IF(BQ14=$BN$11,"0"+AR13,IF(BQ14=$BO$11,"0"+AR13,IF(BQ14=$BP$11,"0"+AR13,"0"+AR13))))))</f>
        <v>1</v>
      </c>
      <c r="AT14" s="38" t="str">
        <f>CONCATENATE($AU$11&amp;B14)</f>
        <v>W2</v>
      </c>
      <c r="AU14" s="38">
        <f>SUMIF($AY$13:$AY$46,AT14,$BD$13:$BD$46)</f>
        <v>0</v>
      </c>
      <c r="AY14" s="38" t="str">
        <f t="shared" ref="AY14:AY46" si="1">CONCATENATE(AJ14&amp;AL14)</f>
        <v>W10</v>
      </c>
      <c r="AZ14" s="38" t="str">
        <f t="shared" ref="AZ14:AZ46" si="2">IF(AE14=$AW$11,"2","0")</f>
        <v>0</v>
      </c>
      <c r="BA14" s="38" t="str">
        <f t="shared" ref="BA14:BA46" si="3">IF(AG14=$AW$11,"1","0")</f>
        <v>1</v>
      </c>
      <c r="BB14" s="38" t="str">
        <f t="shared" ref="BB14:BB46" si="4">IF(AF14=$AW$11,"1","0")</f>
        <v>0</v>
      </c>
      <c r="BC14" s="38">
        <f t="shared" ref="BC14:BC46" si="5">AZ14+BA14</f>
        <v>1</v>
      </c>
      <c r="BD14" s="38">
        <f t="shared" ref="BD14:BD46" si="6">BB14+0</f>
        <v>0</v>
      </c>
      <c r="BL14" s="38" t="str">
        <f t="shared" ref="BL14:BL46" si="7">IF(AE14="","",CONCATENATE($BL$12&amp;AJ14&amp;AE14))</f>
        <v/>
      </c>
      <c r="BM14" s="38" t="str">
        <f t="shared" ref="BM14:BM46" si="8">IF(AG14="","",CONCATENATE($BM$12&amp;AJ14&amp;AG14))</f>
        <v>dWX</v>
      </c>
      <c r="BN14" s="38" t="str">
        <f t="shared" ref="BN14:BN46" si="9">IF(AF14="","",CONCATENATE($BN$12&amp;AJ14,AF14))</f>
        <v/>
      </c>
      <c r="BO14" s="38" t="str">
        <f t="shared" ref="BO14:BO46" si="10">IF(AH14="","",CONCATENATE($BO$12&amp;AJ14&amp;AH14))</f>
        <v/>
      </c>
      <c r="BP14" s="38" t="str">
        <f t="shared" ref="BP14:BP46" si="11">IF(AI14="","",CONCATENATE($BP$12&amp;AJ14&amp;AI14))</f>
        <v/>
      </c>
      <c r="BQ14" s="38" t="str">
        <f t="shared" ref="BQ14:BQ46" si="12">CONCATENATE(BL14&amp;BM14&amp;BN14&amp;BO14&amp;BP14)</f>
        <v>dWX</v>
      </c>
    </row>
    <row r="15" spans="1:256" ht="15.6" x14ac:dyDescent="0.3">
      <c r="A15" s="120" t="s">
        <v>265</v>
      </c>
      <c r="B15" s="397">
        <f>IF(ISBLANK(HLOOKUP($F$10,spelerslijsten!$B$1:$J$22,6,FALSE)),"",HLOOKUP($F$10,spelerslijsten!$B$1:$J$22,6,FALSE))</f>
        <v>3</v>
      </c>
      <c r="C15" s="398"/>
      <c r="D15" s="121"/>
      <c r="E15" s="122" t="str">
        <f>IF(ISBLANK(HLOOKUP($F$10,spelerslijsten!$B$1:$J$22,5,FALSE)),"",HLOOKUP($F$10,spelerslijsten!$B$1:$J$22,5,FALSE))</f>
        <v>Arjan Dulos</v>
      </c>
      <c r="F15" s="123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08">
        <f t="shared" si="0"/>
        <v>0</v>
      </c>
      <c r="W15" s="109" t="str">
        <f t="shared" ref="W15:W23" si="13">IF(AU15&gt;0,"x","")</f>
        <v/>
      </c>
      <c r="X15" s="110" t="str">
        <f t="shared" ref="X15:X23" si="14">IF(AU15&gt;1,"x","")</f>
        <v/>
      </c>
      <c r="Y15" s="103" t="str">
        <f t="shared" ref="Y15:Y23" si="15">IF(AU15&gt;2,"x","")</f>
        <v/>
      </c>
      <c r="Z15" s="111">
        <v>1</v>
      </c>
      <c r="AA15" s="112">
        <v>1</v>
      </c>
      <c r="AB15" s="113" t="str">
        <f t="shared" ref="AB15:AB44" si="16">+AB14</f>
        <v>-</v>
      </c>
      <c r="AC15" s="112">
        <v>2</v>
      </c>
      <c r="AD15" s="114">
        <v>0</v>
      </c>
      <c r="AE15" s="115"/>
      <c r="AF15" s="115" t="s">
        <v>265</v>
      </c>
      <c r="AG15" s="116"/>
      <c r="AH15" s="117"/>
      <c r="AI15" s="117"/>
      <c r="AJ15" s="342" t="s">
        <v>18</v>
      </c>
      <c r="AK15" s="343"/>
      <c r="AL15" s="346">
        <v>3</v>
      </c>
      <c r="AM15" s="347"/>
      <c r="AN15" s="118"/>
      <c r="AO15" s="101">
        <f>IF(BQ15="","",IF(BQ15=$BL$10,"2"+AO14,IF(BQ15=$BM$10,"1"+AO14,IF(BQ15=$BN$10,"0"+AO14,IF(BQ15=$BO$10,"0"+AO14,IF(BQ15=$BP$10,"0"+AO14,"0"+AO14))))))</f>
        <v>1</v>
      </c>
      <c r="AP15" s="113" t="str">
        <f>+AP14</f>
        <v>-</v>
      </c>
      <c r="AQ15" s="119"/>
      <c r="AR15" s="103">
        <f>IF(BQ15="","",IF(BQ15=$BL$11,"2"+AR14,IF(BQ15=$BM$11,"1"+AR14,IF(BQ15=$BN$11,"0"+AR14,IF(BQ15=$BO$11,"0"+AR14,IF(BQ15=$BP$11,"0"+AR14,"0"+AR14))))))</f>
        <v>1</v>
      </c>
      <c r="AT15" s="38" t="str">
        <f t="shared" ref="AT15:AT23" si="17">CONCATENATE($AU$11&amp;B15)</f>
        <v>W3</v>
      </c>
      <c r="AU15" s="38">
        <f t="shared" ref="AU15:AU39" si="18">SUMIF($AY$13:$AY$46,AT15,$BD$13:$BD$46)</f>
        <v>0</v>
      </c>
      <c r="AY15" s="38" t="str">
        <f t="shared" si="1"/>
        <v>B3</v>
      </c>
      <c r="AZ15" s="38" t="str">
        <f t="shared" si="2"/>
        <v>0</v>
      </c>
      <c r="BA15" s="38" t="str">
        <f t="shared" si="3"/>
        <v>0</v>
      </c>
      <c r="BB15" s="38" t="str">
        <f t="shared" si="4"/>
        <v>1</v>
      </c>
      <c r="BC15" s="38">
        <f t="shared" si="5"/>
        <v>0</v>
      </c>
      <c r="BD15" s="38">
        <f t="shared" si="6"/>
        <v>1</v>
      </c>
      <c r="BL15" s="38" t="str">
        <f t="shared" si="7"/>
        <v/>
      </c>
      <c r="BM15" s="38" t="str">
        <f t="shared" si="8"/>
        <v/>
      </c>
      <c r="BN15" s="38" t="str">
        <f t="shared" si="9"/>
        <v>pBX</v>
      </c>
      <c r="BO15" s="38" t="str">
        <f t="shared" si="10"/>
        <v/>
      </c>
      <c r="BP15" s="38" t="str">
        <f t="shared" si="11"/>
        <v/>
      </c>
      <c r="BQ15" s="38" t="str">
        <f t="shared" si="12"/>
        <v>pBX</v>
      </c>
    </row>
    <row r="16" spans="1:256" ht="15.6" x14ac:dyDescent="0.3">
      <c r="A16" s="124"/>
      <c r="B16" s="397">
        <f>IF(ISBLANK(HLOOKUP($F$10,spelerslijsten!$B$1:$J$22,8,FALSE)),"",HLOOKUP($F$10,spelerslijsten!$B$1:$J$22,8,FALSE))</f>
        <v>4</v>
      </c>
      <c r="C16" s="398"/>
      <c r="D16" s="121"/>
      <c r="E16" s="122" t="str">
        <f>IF(ISBLANK(HLOOKUP($F$10,spelerslijsten!$B$1:$J$22,7,FALSE)),"",HLOOKUP($F$10,spelerslijsten!$B$1:$J$22,7,FALSE))</f>
        <v>Kim Wolf</v>
      </c>
      <c r="F16" s="12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08">
        <f t="shared" si="0"/>
        <v>0</v>
      </c>
      <c r="W16" s="109" t="str">
        <f t="shared" si="13"/>
        <v/>
      </c>
      <c r="X16" s="110" t="str">
        <f t="shared" si="14"/>
        <v/>
      </c>
      <c r="Y16" s="103" t="str">
        <f t="shared" si="15"/>
        <v/>
      </c>
      <c r="Z16" s="111"/>
      <c r="AA16" s="112"/>
      <c r="AB16" s="113" t="str">
        <f t="shared" si="16"/>
        <v>-</v>
      </c>
      <c r="AC16" s="112"/>
      <c r="AD16" s="114"/>
      <c r="AE16" s="115"/>
      <c r="AF16" s="115"/>
      <c r="AG16" s="116"/>
      <c r="AH16" s="117"/>
      <c r="AI16" s="117"/>
      <c r="AJ16" s="342"/>
      <c r="AK16" s="343"/>
      <c r="AL16" s="346"/>
      <c r="AM16" s="347"/>
      <c r="AN16" s="118"/>
      <c r="AO16" s="101" t="str">
        <f t="shared" ref="AO16:AO46" si="19">IF(BQ16="","",IF(BQ16=$BL$10,"2"+AO15,IF(BQ16=$BM$10,"1"+AO15,IF(BQ16=$BN$10,"0"+AO15,IF(BQ16=$BO$10,"0"+AO15,IF(BQ16=$BP$10,"0"+AO15,"0"+AO15))))))</f>
        <v/>
      </c>
      <c r="AP16" s="113" t="str">
        <f t="shared" ref="AP16:AP46" si="20">+AP15</f>
        <v>-</v>
      </c>
      <c r="AQ16" s="119"/>
      <c r="AR16" s="103" t="str">
        <f t="shared" ref="AR16:AR46" si="21">IF(BQ16="","",IF(BQ16=$BL$11,"2"+AR15,IF(BQ16=$BM$11,"1"+AR15,IF(BQ16=$BN$11,"0"+AR15,IF(BQ16=$BO$11,"0"+AR15,IF(BQ16=$BP$11,"0"+AR15,"0"+AR15))))))</f>
        <v/>
      </c>
      <c r="AT16" s="38" t="str">
        <f t="shared" si="17"/>
        <v>W4</v>
      </c>
      <c r="AU16" s="38">
        <f t="shared" si="18"/>
        <v>0</v>
      </c>
      <c r="AY16" s="38" t="str">
        <f t="shared" si="1"/>
        <v/>
      </c>
      <c r="AZ16" s="38" t="str">
        <f t="shared" si="2"/>
        <v>0</v>
      </c>
      <c r="BA16" s="38" t="str">
        <f t="shared" si="3"/>
        <v>0</v>
      </c>
      <c r="BB16" s="38" t="str">
        <f t="shared" si="4"/>
        <v>0</v>
      </c>
      <c r="BC16" s="38">
        <f t="shared" si="5"/>
        <v>0</v>
      </c>
      <c r="BD16" s="38">
        <f t="shared" si="6"/>
        <v>0</v>
      </c>
      <c r="BL16" s="38" t="str">
        <f t="shared" si="7"/>
        <v/>
      </c>
      <c r="BM16" s="38" t="str">
        <f t="shared" si="8"/>
        <v/>
      </c>
      <c r="BN16" s="38" t="str">
        <f t="shared" si="9"/>
        <v/>
      </c>
      <c r="BO16" s="38" t="str">
        <f t="shared" si="10"/>
        <v/>
      </c>
      <c r="BP16" s="38" t="str">
        <f t="shared" si="11"/>
        <v/>
      </c>
      <c r="BQ16" s="38" t="str">
        <f t="shared" si="12"/>
        <v/>
      </c>
    </row>
    <row r="17" spans="1:69" ht="15.6" x14ac:dyDescent="0.3">
      <c r="A17" s="124" t="s">
        <v>265</v>
      </c>
      <c r="B17" s="397">
        <f>IF(ISBLANK(HLOOKUP($F$10,spelerslijsten!$B$1:$J$22,10,FALSE)),"",HLOOKUP($F$10,spelerslijsten!$B$1:$J$22,10,FALSE))</f>
        <v>5</v>
      </c>
      <c r="C17" s="398"/>
      <c r="D17" s="121"/>
      <c r="E17" s="122" t="str">
        <f>IF(ISBLANK(HLOOKUP($F$10,spelerslijsten!$B$1:$J$22,9,FALSE)),"",HLOOKUP($F$10,spelerslijsten!$B$1:$J$22,9,FALSE))</f>
        <v>Kevin van Boekel</v>
      </c>
      <c r="F17" s="12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08">
        <f t="shared" si="0"/>
        <v>0</v>
      </c>
      <c r="W17" s="109" t="str">
        <f t="shared" si="13"/>
        <v/>
      </c>
      <c r="X17" s="110" t="str">
        <f t="shared" si="14"/>
        <v/>
      </c>
      <c r="Y17" s="103" t="str">
        <f t="shared" si="15"/>
        <v/>
      </c>
      <c r="Z17" s="111"/>
      <c r="AA17" s="112"/>
      <c r="AB17" s="113" t="str">
        <f t="shared" si="16"/>
        <v>-</v>
      </c>
      <c r="AC17" s="112"/>
      <c r="AD17" s="114"/>
      <c r="AE17" s="115"/>
      <c r="AF17" s="115"/>
      <c r="AG17" s="116"/>
      <c r="AH17" s="117"/>
      <c r="AI17" s="117"/>
      <c r="AJ17" s="342"/>
      <c r="AK17" s="343"/>
      <c r="AL17" s="346"/>
      <c r="AM17" s="347"/>
      <c r="AN17" s="118"/>
      <c r="AO17" s="101" t="str">
        <f t="shared" si="19"/>
        <v/>
      </c>
      <c r="AP17" s="113" t="str">
        <f t="shared" si="20"/>
        <v>-</v>
      </c>
      <c r="AQ17" s="119"/>
      <c r="AR17" s="103" t="str">
        <f t="shared" si="21"/>
        <v/>
      </c>
      <c r="AT17" s="38" t="str">
        <f t="shared" si="17"/>
        <v>W5</v>
      </c>
      <c r="AU17" s="38">
        <f t="shared" si="18"/>
        <v>0</v>
      </c>
      <c r="AY17" s="38" t="str">
        <f t="shared" si="1"/>
        <v/>
      </c>
      <c r="AZ17" s="38" t="str">
        <f t="shared" si="2"/>
        <v>0</v>
      </c>
      <c r="BA17" s="38" t="str">
        <f t="shared" si="3"/>
        <v>0</v>
      </c>
      <c r="BB17" s="38" t="str">
        <f t="shared" si="4"/>
        <v>0</v>
      </c>
      <c r="BC17" s="38">
        <f t="shared" si="5"/>
        <v>0</v>
      </c>
      <c r="BD17" s="38">
        <f t="shared" si="6"/>
        <v>0</v>
      </c>
      <c r="BL17" s="38" t="str">
        <f t="shared" si="7"/>
        <v/>
      </c>
      <c r="BM17" s="38" t="str">
        <f t="shared" si="8"/>
        <v/>
      </c>
      <c r="BN17" s="38" t="str">
        <f t="shared" si="9"/>
        <v/>
      </c>
      <c r="BO17" s="38" t="str">
        <f t="shared" si="10"/>
        <v/>
      </c>
      <c r="BP17" s="38" t="str">
        <f t="shared" si="11"/>
        <v/>
      </c>
      <c r="BQ17" s="38" t="str">
        <f t="shared" si="12"/>
        <v/>
      </c>
    </row>
    <row r="18" spans="1:69" ht="15.6" x14ac:dyDescent="0.3">
      <c r="A18" s="124" t="s">
        <v>265</v>
      </c>
      <c r="B18" s="397">
        <f>IF(ISBLANK(HLOOKUP($F$10,spelerslijsten!$B$1:$J$22,12,FALSE)),"",HLOOKUP($F$10,spelerslijsten!$B$1:$J$22,12,FALSE))</f>
        <v>6</v>
      </c>
      <c r="C18" s="398"/>
      <c r="D18" s="121"/>
      <c r="E18" s="122" t="str">
        <f>IF(ISBLANK(HLOOKUP($F$10,spelerslijsten!$B$1:$J$22,11,FALSE)),"",HLOOKUP($F$10,spelerslijsten!$B$1:$J$22,11,FALSE))</f>
        <v>Kevin van Kollenburg</v>
      </c>
      <c r="F18" s="12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08">
        <f t="shared" si="0"/>
        <v>0</v>
      </c>
      <c r="W18" s="109" t="str">
        <f t="shared" si="13"/>
        <v/>
      </c>
      <c r="X18" s="110" t="str">
        <f t="shared" si="14"/>
        <v/>
      </c>
      <c r="Y18" s="103" t="str">
        <f t="shared" si="15"/>
        <v/>
      </c>
      <c r="Z18" s="111"/>
      <c r="AA18" s="112"/>
      <c r="AB18" s="113" t="s">
        <v>16</v>
      </c>
      <c r="AC18" s="112"/>
      <c r="AD18" s="114"/>
      <c r="AE18" s="115"/>
      <c r="AF18" s="115"/>
      <c r="AG18" s="116"/>
      <c r="AH18" s="117"/>
      <c r="AI18" s="117"/>
      <c r="AJ18" s="342"/>
      <c r="AK18" s="343"/>
      <c r="AL18" s="346"/>
      <c r="AM18" s="347"/>
      <c r="AN18" s="118"/>
      <c r="AO18" s="101" t="str">
        <f t="shared" si="19"/>
        <v/>
      </c>
      <c r="AP18" s="113" t="str">
        <f t="shared" si="20"/>
        <v>-</v>
      </c>
      <c r="AQ18" s="119"/>
      <c r="AR18" s="103" t="str">
        <f t="shared" si="21"/>
        <v/>
      </c>
      <c r="AT18" s="38" t="str">
        <f t="shared" si="17"/>
        <v>W6</v>
      </c>
      <c r="AU18" s="38">
        <f t="shared" si="18"/>
        <v>0</v>
      </c>
      <c r="AY18" s="38" t="str">
        <f t="shared" si="1"/>
        <v/>
      </c>
      <c r="AZ18" s="38" t="str">
        <f t="shared" si="2"/>
        <v>0</v>
      </c>
      <c r="BA18" s="38" t="str">
        <f t="shared" si="3"/>
        <v>0</v>
      </c>
      <c r="BB18" s="38" t="str">
        <f t="shared" si="4"/>
        <v>0</v>
      </c>
      <c r="BC18" s="38">
        <f t="shared" si="5"/>
        <v>0</v>
      </c>
      <c r="BD18" s="38">
        <f t="shared" si="6"/>
        <v>0</v>
      </c>
      <c r="BL18" s="38" t="str">
        <f t="shared" si="7"/>
        <v/>
      </c>
      <c r="BM18" s="38" t="str">
        <f t="shared" si="8"/>
        <v/>
      </c>
      <c r="BN18" s="38" t="str">
        <f t="shared" si="9"/>
        <v/>
      </c>
      <c r="BO18" s="38" t="str">
        <f t="shared" si="10"/>
        <v/>
      </c>
      <c r="BP18" s="38" t="str">
        <f t="shared" si="11"/>
        <v/>
      </c>
      <c r="BQ18" s="38" t="str">
        <f t="shared" si="12"/>
        <v/>
      </c>
    </row>
    <row r="19" spans="1:69" ht="15.6" x14ac:dyDescent="0.3">
      <c r="A19" s="124" t="s">
        <v>265</v>
      </c>
      <c r="B19" s="397">
        <f>IF(ISBLANK(HLOOKUP($F$10,spelerslijsten!$B$1:$J$22,14,FALSE)),"",HLOOKUP($F$10,spelerslijsten!$B$1:$J$22,14,FALSE))</f>
        <v>7</v>
      </c>
      <c r="C19" s="398"/>
      <c r="D19" s="121"/>
      <c r="E19" s="122" t="str">
        <f>IF(ISBLANK(HLOOKUP($F$10,spelerslijsten!$B$1:$J$22,13,FALSE)),"",HLOOKUP($F$10,spelerslijsten!$B$1:$J$22,13,FALSE))</f>
        <v>Tim van den Akker</v>
      </c>
      <c r="F19" s="12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08">
        <f t="shared" si="0"/>
        <v>0</v>
      </c>
      <c r="W19" s="109" t="str">
        <f t="shared" si="13"/>
        <v/>
      </c>
      <c r="X19" s="110" t="str">
        <f t="shared" si="14"/>
        <v/>
      </c>
      <c r="Y19" s="103" t="str">
        <f t="shared" si="15"/>
        <v/>
      </c>
      <c r="Z19" s="111"/>
      <c r="AA19" s="112"/>
      <c r="AB19" s="113" t="str">
        <f t="shared" si="16"/>
        <v>-</v>
      </c>
      <c r="AC19" s="112"/>
      <c r="AD19" s="114"/>
      <c r="AE19" s="115"/>
      <c r="AF19" s="115"/>
      <c r="AG19" s="116"/>
      <c r="AH19" s="117"/>
      <c r="AI19" s="117"/>
      <c r="AJ19" s="342"/>
      <c r="AK19" s="343"/>
      <c r="AL19" s="346"/>
      <c r="AM19" s="347"/>
      <c r="AN19" s="118"/>
      <c r="AO19" s="101" t="str">
        <f t="shared" si="19"/>
        <v/>
      </c>
      <c r="AP19" s="113" t="str">
        <f t="shared" si="20"/>
        <v>-</v>
      </c>
      <c r="AQ19" s="119"/>
      <c r="AR19" s="103" t="str">
        <f t="shared" si="21"/>
        <v/>
      </c>
      <c r="AT19" s="38" t="str">
        <f t="shared" si="17"/>
        <v>W7</v>
      </c>
      <c r="AU19" s="38">
        <f t="shared" si="18"/>
        <v>0</v>
      </c>
      <c r="AY19" s="38" t="str">
        <f t="shared" si="1"/>
        <v/>
      </c>
      <c r="AZ19" s="38" t="str">
        <f t="shared" si="2"/>
        <v>0</v>
      </c>
      <c r="BA19" s="38" t="str">
        <f t="shared" si="3"/>
        <v>0</v>
      </c>
      <c r="BB19" s="38" t="str">
        <f t="shared" si="4"/>
        <v>0</v>
      </c>
      <c r="BC19" s="38">
        <f t="shared" si="5"/>
        <v>0</v>
      </c>
      <c r="BD19" s="38">
        <f t="shared" si="6"/>
        <v>0</v>
      </c>
      <c r="BL19" s="38" t="str">
        <f t="shared" si="7"/>
        <v/>
      </c>
      <c r="BM19" s="38" t="str">
        <f t="shared" si="8"/>
        <v/>
      </c>
      <c r="BN19" s="38" t="str">
        <f t="shared" si="9"/>
        <v/>
      </c>
      <c r="BO19" s="38" t="str">
        <f t="shared" si="10"/>
        <v/>
      </c>
      <c r="BP19" s="38" t="str">
        <f t="shared" si="11"/>
        <v/>
      </c>
      <c r="BQ19" s="38" t="str">
        <f t="shared" si="12"/>
        <v/>
      </c>
    </row>
    <row r="20" spans="1:69" ht="15.6" x14ac:dyDescent="0.3">
      <c r="A20" s="124"/>
      <c r="B20" s="397">
        <f>IF(ISBLANK(HLOOKUP($F$10,spelerslijsten!$B$1:$J$22,16,FALSE)),"",HLOOKUP($F$10,spelerslijsten!$B$1:$J$22,16,FALSE))</f>
        <v>8</v>
      </c>
      <c r="C20" s="398"/>
      <c r="D20" s="121"/>
      <c r="E20" s="122" t="str">
        <f>IF(ISBLANK(HLOOKUP($F$10,spelerslijsten!$B$1:$J$22,15,FALSE)),"",HLOOKUP($F$10,spelerslijsten!$B$1:$J$22,15,FALSE))</f>
        <v>Marloes Beks-Geurts</v>
      </c>
      <c r="F20" s="12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08">
        <f t="shared" si="0"/>
        <v>0</v>
      </c>
      <c r="W20" s="109" t="str">
        <f t="shared" si="13"/>
        <v/>
      </c>
      <c r="X20" s="110" t="str">
        <f t="shared" si="14"/>
        <v/>
      </c>
      <c r="Y20" s="103" t="str">
        <f t="shared" si="15"/>
        <v/>
      </c>
      <c r="Z20" s="111"/>
      <c r="AA20" s="112"/>
      <c r="AB20" s="113" t="str">
        <f t="shared" si="16"/>
        <v>-</v>
      </c>
      <c r="AC20" s="112"/>
      <c r="AD20" s="114"/>
      <c r="AE20" s="115"/>
      <c r="AF20" s="115"/>
      <c r="AG20" s="116"/>
      <c r="AH20" s="117"/>
      <c r="AI20" s="117"/>
      <c r="AJ20" s="342"/>
      <c r="AK20" s="343"/>
      <c r="AL20" s="346"/>
      <c r="AM20" s="347"/>
      <c r="AN20" s="118"/>
      <c r="AO20" s="101" t="str">
        <f t="shared" si="19"/>
        <v/>
      </c>
      <c r="AP20" s="113" t="str">
        <f t="shared" si="20"/>
        <v>-</v>
      </c>
      <c r="AQ20" s="119"/>
      <c r="AR20" s="103" t="str">
        <f t="shared" si="21"/>
        <v/>
      </c>
      <c r="AT20" s="38" t="str">
        <f t="shared" si="17"/>
        <v>W8</v>
      </c>
      <c r="AU20" s="38">
        <f t="shared" si="18"/>
        <v>0</v>
      </c>
      <c r="AY20" s="38" t="str">
        <f t="shared" si="1"/>
        <v/>
      </c>
      <c r="AZ20" s="38" t="str">
        <f t="shared" si="2"/>
        <v>0</v>
      </c>
      <c r="BA20" s="38" t="str">
        <f t="shared" si="3"/>
        <v>0</v>
      </c>
      <c r="BB20" s="38" t="str">
        <f t="shared" si="4"/>
        <v>0</v>
      </c>
      <c r="BC20" s="38">
        <f t="shared" si="5"/>
        <v>0</v>
      </c>
      <c r="BD20" s="38">
        <f t="shared" si="6"/>
        <v>0</v>
      </c>
      <c r="BL20" s="38" t="str">
        <f t="shared" si="7"/>
        <v/>
      </c>
      <c r="BM20" s="38" t="str">
        <f t="shared" si="8"/>
        <v/>
      </c>
      <c r="BN20" s="38" t="str">
        <f t="shared" si="9"/>
        <v/>
      </c>
      <c r="BO20" s="38" t="str">
        <f t="shared" si="10"/>
        <v/>
      </c>
      <c r="BP20" s="38" t="str">
        <f t="shared" si="11"/>
        <v/>
      </c>
      <c r="BQ20" s="38" t="str">
        <f t="shared" si="12"/>
        <v/>
      </c>
    </row>
    <row r="21" spans="1:69" ht="15.6" x14ac:dyDescent="0.3">
      <c r="A21" s="124"/>
      <c r="B21" s="397">
        <f>IF(ISBLANK(HLOOKUP($F$10,spelerslijsten!$B$1:$J$22,18,FALSE)),"",HLOOKUP($F$10,spelerslijsten!$B$1:$J$22,18,FALSE))</f>
        <v>9</v>
      </c>
      <c r="C21" s="398"/>
      <c r="D21" s="121"/>
      <c r="E21" s="122" t="str">
        <f>IF(ISBLANK(HLOOKUP($F$10,spelerslijsten!$B$1:$J$22,17,FALSE)),"",HLOOKUP($F$10,spelerslijsten!$B$1:$J$22,17,FALSE))</f>
        <v>Lincy Ruijs</v>
      </c>
      <c r="F21" s="12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08">
        <f>SUMIF($AY$13:$AY$46,AT21,$BC$13:$BC$46)</f>
        <v>0</v>
      </c>
      <c r="W21" s="109" t="str">
        <f t="shared" si="13"/>
        <v/>
      </c>
      <c r="X21" s="110" t="str">
        <f t="shared" si="14"/>
        <v/>
      </c>
      <c r="Y21" s="103" t="str">
        <f t="shared" si="15"/>
        <v/>
      </c>
      <c r="Z21" s="111"/>
      <c r="AA21" s="112"/>
      <c r="AB21" s="113" t="str">
        <f t="shared" si="16"/>
        <v>-</v>
      </c>
      <c r="AC21" s="112"/>
      <c r="AD21" s="114"/>
      <c r="AE21" s="115"/>
      <c r="AF21" s="115"/>
      <c r="AG21" s="116"/>
      <c r="AH21" s="117"/>
      <c r="AI21" s="117"/>
      <c r="AJ21" s="342"/>
      <c r="AK21" s="343"/>
      <c r="AL21" s="346"/>
      <c r="AM21" s="347"/>
      <c r="AN21" s="118"/>
      <c r="AO21" s="101" t="str">
        <f t="shared" si="19"/>
        <v/>
      </c>
      <c r="AP21" s="113" t="str">
        <f t="shared" si="20"/>
        <v>-</v>
      </c>
      <c r="AQ21" s="119"/>
      <c r="AR21" s="103" t="str">
        <f t="shared" si="21"/>
        <v/>
      </c>
      <c r="AT21" s="38" t="str">
        <f t="shared" si="17"/>
        <v>W9</v>
      </c>
      <c r="AU21" s="38">
        <f t="shared" si="18"/>
        <v>0</v>
      </c>
      <c r="AY21" s="38" t="str">
        <f t="shared" si="1"/>
        <v/>
      </c>
      <c r="AZ21" s="38" t="str">
        <f t="shared" si="2"/>
        <v>0</v>
      </c>
      <c r="BA21" s="38" t="str">
        <f t="shared" si="3"/>
        <v>0</v>
      </c>
      <c r="BB21" s="38" t="str">
        <f t="shared" si="4"/>
        <v>0</v>
      </c>
      <c r="BC21" s="38">
        <f t="shared" si="5"/>
        <v>0</v>
      </c>
      <c r="BD21" s="38">
        <f t="shared" si="6"/>
        <v>0</v>
      </c>
      <c r="BL21" s="38" t="str">
        <f t="shared" si="7"/>
        <v/>
      </c>
      <c r="BM21" s="38" t="str">
        <f t="shared" si="8"/>
        <v/>
      </c>
      <c r="BN21" s="38" t="str">
        <f t="shared" si="9"/>
        <v/>
      </c>
      <c r="BO21" s="38" t="str">
        <f t="shared" si="10"/>
        <v/>
      </c>
      <c r="BP21" s="38" t="str">
        <f t="shared" si="11"/>
        <v/>
      </c>
      <c r="BQ21" s="38" t="str">
        <f t="shared" si="12"/>
        <v/>
      </c>
    </row>
    <row r="22" spans="1:69" ht="15.6" x14ac:dyDescent="0.3">
      <c r="A22" s="124" t="s">
        <v>265</v>
      </c>
      <c r="B22" s="397">
        <f>IF(ISBLANK(HLOOKUP($F$10,spelerslijsten!$B$1:$J$22,20,FALSE)),"",HLOOKUP($F$10,spelerslijsten!$B$1:$J$22,20,FALSE))</f>
        <v>10</v>
      </c>
      <c r="C22" s="398"/>
      <c r="D22" s="121"/>
      <c r="E22" s="122" t="str">
        <f>IF(ISBLANK(HLOOKUP($F$10,spelerslijsten!$B$1:$J$22,19,FALSE)),"",HLOOKUP($F$10,spelerslijsten!$B$1:$J$22,19,FALSE))</f>
        <v>Eef de Ruijter</v>
      </c>
      <c r="F22" s="12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08">
        <f t="shared" ref="V22:V23" si="22">SUMIF($AY$13:$AY$46,AT22,$BC$13:$BC$46)</f>
        <v>1</v>
      </c>
      <c r="W22" s="109" t="str">
        <f t="shared" si="13"/>
        <v/>
      </c>
      <c r="X22" s="110" t="str">
        <f t="shared" si="14"/>
        <v/>
      </c>
      <c r="Y22" s="103" t="str">
        <f t="shared" si="15"/>
        <v/>
      </c>
      <c r="Z22" s="111"/>
      <c r="AA22" s="112"/>
      <c r="AB22" s="113" t="str">
        <f t="shared" si="16"/>
        <v>-</v>
      </c>
      <c r="AC22" s="112"/>
      <c r="AD22" s="114"/>
      <c r="AE22" s="115"/>
      <c r="AF22" s="115"/>
      <c r="AG22" s="116"/>
      <c r="AH22" s="117"/>
      <c r="AI22" s="117"/>
      <c r="AJ22" s="342"/>
      <c r="AK22" s="343"/>
      <c r="AL22" s="346"/>
      <c r="AM22" s="347"/>
      <c r="AN22" s="118"/>
      <c r="AO22" s="101" t="str">
        <f t="shared" si="19"/>
        <v/>
      </c>
      <c r="AP22" s="113" t="str">
        <f t="shared" si="20"/>
        <v>-</v>
      </c>
      <c r="AQ22" s="119"/>
      <c r="AR22" s="103" t="str">
        <f t="shared" si="21"/>
        <v/>
      </c>
      <c r="AT22" s="38" t="str">
        <f t="shared" si="17"/>
        <v>W10</v>
      </c>
      <c r="AU22" s="38">
        <f t="shared" si="18"/>
        <v>0</v>
      </c>
      <c r="AY22" s="38" t="str">
        <f t="shared" si="1"/>
        <v/>
      </c>
      <c r="AZ22" s="38" t="str">
        <f t="shared" si="2"/>
        <v>0</v>
      </c>
      <c r="BA22" s="38" t="str">
        <f t="shared" si="3"/>
        <v>0</v>
      </c>
      <c r="BB22" s="38" t="str">
        <f t="shared" si="4"/>
        <v>0</v>
      </c>
      <c r="BC22" s="38">
        <f t="shared" si="5"/>
        <v>0</v>
      </c>
      <c r="BD22" s="38">
        <f t="shared" si="6"/>
        <v>0</v>
      </c>
      <c r="BL22" s="38" t="str">
        <f t="shared" si="7"/>
        <v/>
      </c>
      <c r="BM22" s="38" t="str">
        <f t="shared" si="8"/>
        <v/>
      </c>
      <c r="BN22" s="38" t="str">
        <f t="shared" si="9"/>
        <v/>
      </c>
      <c r="BO22" s="38" t="str">
        <f t="shared" si="10"/>
        <v/>
      </c>
      <c r="BP22" s="38" t="str">
        <f t="shared" si="11"/>
        <v/>
      </c>
      <c r="BQ22" s="38" t="str">
        <f t="shared" si="12"/>
        <v/>
      </c>
    </row>
    <row r="23" spans="1:69" ht="15.6" x14ac:dyDescent="0.3">
      <c r="A23" s="125"/>
      <c r="B23" s="397">
        <f>IF(ISBLANK(HLOOKUP($F$10,spelerslijsten!$B$1:$J$22,22,FALSE)),"",HLOOKUP($F$10,spelerslijsten!$B$1:$J$22,22,FALSE))</f>
        <v>11</v>
      </c>
      <c r="C23" s="398"/>
      <c r="D23" s="126"/>
      <c r="E23" s="259" t="str">
        <f>IF(ISBLANK(HLOOKUP($F$10,spelerslijsten!$B$1:$J$22,21,FALSE)),"",HLOOKUP($F$10,spelerslijsten!$B$1:$J$22,21,FALSE))</f>
        <v>Finn van der Krift</v>
      </c>
      <c r="F23" s="126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08">
        <f t="shared" si="22"/>
        <v>0</v>
      </c>
      <c r="W23" s="109" t="str">
        <f t="shared" si="13"/>
        <v/>
      </c>
      <c r="X23" s="110" t="str">
        <f t="shared" si="14"/>
        <v/>
      </c>
      <c r="Y23" s="103" t="str">
        <f t="shared" si="15"/>
        <v/>
      </c>
      <c r="Z23" s="111"/>
      <c r="AA23" s="112"/>
      <c r="AB23" s="113" t="str">
        <f t="shared" si="16"/>
        <v>-</v>
      </c>
      <c r="AC23" s="112"/>
      <c r="AD23" s="114"/>
      <c r="AE23" s="115"/>
      <c r="AF23" s="115"/>
      <c r="AG23" s="116"/>
      <c r="AH23" s="117"/>
      <c r="AI23" s="117"/>
      <c r="AJ23" s="342"/>
      <c r="AK23" s="343"/>
      <c r="AL23" s="346"/>
      <c r="AM23" s="347"/>
      <c r="AN23" s="118"/>
      <c r="AO23" s="101" t="str">
        <f t="shared" si="19"/>
        <v/>
      </c>
      <c r="AP23" s="113" t="str">
        <f t="shared" si="20"/>
        <v>-</v>
      </c>
      <c r="AQ23" s="119"/>
      <c r="AR23" s="103" t="str">
        <f t="shared" si="21"/>
        <v/>
      </c>
      <c r="AT23" s="38" t="str">
        <f t="shared" si="17"/>
        <v>W11</v>
      </c>
      <c r="AU23" s="38">
        <f t="shared" si="18"/>
        <v>0</v>
      </c>
      <c r="AY23" s="38" t="str">
        <f t="shared" si="1"/>
        <v/>
      </c>
      <c r="AZ23" s="38" t="str">
        <f t="shared" si="2"/>
        <v>0</v>
      </c>
      <c r="BA23" s="38" t="str">
        <f t="shared" si="3"/>
        <v>0</v>
      </c>
      <c r="BB23" s="38" t="str">
        <f t="shared" si="4"/>
        <v>0</v>
      </c>
      <c r="BC23" s="38">
        <f t="shared" si="5"/>
        <v>0</v>
      </c>
      <c r="BD23" s="38">
        <f t="shared" si="6"/>
        <v>0</v>
      </c>
      <c r="BL23" s="38" t="str">
        <f t="shared" si="7"/>
        <v/>
      </c>
      <c r="BM23" s="38" t="str">
        <f t="shared" si="8"/>
        <v/>
      </c>
      <c r="BN23" s="38" t="str">
        <f t="shared" si="9"/>
        <v/>
      </c>
      <c r="BO23" s="38" t="str">
        <f t="shared" si="10"/>
        <v/>
      </c>
      <c r="BP23" s="38" t="str">
        <f t="shared" si="11"/>
        <v/>
      </c>
      <c r="BQ23" s="38" t="str">
        <f t="shared" si="12"/>
        <v/>
      </c>
    </row>
    <row r="24" spans="1:69" ht="16.2" thickBot="1" x14ac:dyDescent="0.35">
      <c r="A24" s="71" t="s">
        <v>67</v>
      </c>
      <c r="B24" s="72"/>
      <c r="C24" s="72"/>
      <c r="D24" s="72"/>
      <c r="E24" s="72"/>
      <c r="F24" s="72"/>
      <c r="G24" s="72"/>
      <c r="I24" s="399">
        <f>HLOOKUP(F10,spelerslijsten!B1:J25,25,FALSE)</f>
        <v>2</v>
      </c>
      <c r="J24" s="400"/>
      <c r="K24" s="74" t="s">
        <v>23</v>
      </c>
      <c r="L24" s="72"/>
      <c r="M24" s="72"/>
      <c r="N24" s="129" t="str">
        <f>HLOOKUP(F10,spelerslijsten!B1:J25,23,FALSE)</f>
        <v>Kevin van Boekel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30"/>
      <c r="Z24" s="131"/>
      <c r="AA24" s="132"/>
      <c r="AB24" s="133" t="str">
        <f t="shared" si="16"/>
        <v>-</v>
      </c>
      <c r="AC24" s="132"/>
      <c r="AD24" s="134"/>
      <c r="AE24" s="135"/>
      <c r="AF24" s="135"/>
      <c r="AG24" s="136"/>
      <c r="AH24" s="137"/>
      <c r="AI24" s="137"/>
      <c r="AJ24" s="342"/>
      <c r="AK24" s="343"/>
      <c r="AL24" s="350"/>
      <c r="AM24" s="351"/>
      <c r="AN24" s="138"/>
      <c r="AO24" s="101" t="str">
        <f t="shared" si="19"/>
        <v/>
      </c>
      <c r="AP24" s="113" t="str">
        <f t="shared" si="20"/>
        <v>-</v>
      </c>
      <c r="AQ24" s="119"/>
      <c r="AR24" s="103" t="str">
        <f t="shared" si="21"/>
        <v/>
      </c>
      <c r="AY24" s="38" t="str">
        <f t="shared" si="1"/>
        <v/>
      </c>
      <c r="AZ24" s="38" t="str">
        <f t="shared" si="2"/>
        <v>0</v>
      </c>
      <c r="BA24" s="38" t="str">
        <f t="shared" si="3"/>
        <v>0</v>
      </c>
      <c r="BB24" s="38" t="str">
        <f t="shared" si="4"/>
        <v>0</v>
      </c>
      <c r="BC24" s="38">
        <f t="shared" si="5"/>
        <v>0</v>
      </c>
      <c r="BD24" s="38">
        <f t="shared" si="6"/>
        <v>0</v>
      </c>
      <c r="BL24" s="38" t="str">
        <f t="shared" si="7"/>
        <v/>
      </c>
      <c r="BM24" s="38" t="str">
        <f t="shared" si="8"/>
        <v/>
      </c>
      <c r="BN24" s="38" t="str">
        <f t="shared" si="9"/>
        <v/>
      </c>
      <c r="BO24" s="38" t="str">
        <f t="shared" si="10"/>
        <v/>
      </c>
      <c r="BP24" s="38" t="str">
        <f t="shared" si="11"/>
        <v/>
      </c>
      <c r="BQ24" s="38" t="str">
        <f t="shared" si="12"/>
        <v/>
      </c>
    </row>
    <row r="25" spans="1:69" ht="15" customHeight="1" x14ac:dyDescent="0.3">
      <c r="A25" s="78" t="s">
        <v>60</v>
      </c>
      <c r="B25" s="79"/>
      <c r="C25" s="79"/>
      <c r="D25" s="79"/>
      <c r="E25" s="79"/>
      <c r="F25" s="356" t="str">
        <f>+AC7</f>
        <v>VZ&amp;PC Nautilus 2</v>
      </c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7"/>
      <c r="Z25" s="139"/>
      <c r="AA25" s="140"/>
      <c r="AB25" s="141" t="str">
        <f t="shared" si="16"/>
        <v>-</v>
      </c>
      <c r="AC25" s="140"/>
      <c r="AD25" s="142"/>
      <c r="AE25" s="143"/>
      <c r="AF25" s="143"/>
      <c r="AG25" s="144"/>
      <c r="AH25" s="145"/>
      <c r="AI25" s="145"/>
      <c r="AJ25" s="342"/>
      <c r="AK25" s="343"/>
      <c r="AL25" s="346"/>
      <c r="AM25" s="347"/>
      <c r="AN25" s="146"/>
      <c r="AO25" s="101" t="str">
        <f t="shared" si="19"/>
        <v/>
      </c>
      <c r="AP25" s="113" t="str">
        <f t="shared" si="20"/>
        <v>-</v>
      </c>
      <c r="AQ25" s="119"/>
      <c r="AR25" s="103" t="str">
        <f t="shared" si="21"/>
        <v/>
      </c>
      <c r="AY25" s="38" t="str">
        <f t="shared" si="1"/>
        <v/>
      </c>
      <c r="AZ25" s="38" t="str">
        <f t="shared" si="2"/>
        <v>0</v>
      </c>
      <c r="BA25" s="38" t="str">
        <f t="shared" si="3"/>
        <v>0</v>
      </c>
      <c r="BB25" s="38" t="str">
        <f t="shared" si="4"/>
        <v>0</v>
      </c>
      <c r="BC25" s="38">
        <f t="shared" si="5"/>
        <v>0</v>
      </c>
      <c r="BD25" s="38">
        <f t="shared" si="6"/>
        <v>0</v>
      </c>
      <c r="BL25" s="38" t="str">
        <f t="shared" si="7"/>
        <v/>
      </c>
      <c r="BM25" s="38" t="str">
        <f t="shared" si="8"/>
        <v/>
      </c>
      <c r="BN25" s="38" t="str">
        <f t="shared" si="9"/>
        <v/>
      </c>
      <c r="BO25" s="38" t="str">
        <f t="shared" si="10"/>
        <v/>
      </c>
      <c r="BP25" s="38" t="str">
        <f t="shared" si="11"/>
        <v/>
      </c>
      <c r="BQ25" s="38" t="str">
        <f t="shared" si="12"/>
        <v/>
      </c>
    </row>
    <row r="26" spans="1:69" ht="15" customHeight="1" x14ac:dyDescent="0.3">
      <c r="A26" s="393" t="s">
        <v>24</v>
      </c>
      <c r="B26" s="394"/>
      <c r="C26" s="394"/>
      <c r="D26" s="394"/>
      <c r="E26" s="81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9"/>
      <c r="Z26" s="139"/>
      <c r="AA26" s="140"/>
      <c r="AB26" s="141" t="s">
        <v>16</v>
      </c>
      <c r="AC26" s="140"/>
      <c r="AD26" s="142"/>
      <c r="AE26" s="143"/>
      <c r="AF26" s="143"/>
      <c r="AG26" s="144"/>
      <c r="AH26" s="145"/>
      <c r="AI26" s="145"/>
      <c r="AJ26" s="342"/>
      <c r="AK26" s="343"/>
      <c r="AL26" s="346"/>
      <c r="AM26" s="347"/>
      <c r="AN26" s="146"/>
      <c r="AO26" s="101" t="str">
        <f t="shared" si="19"/>
        <v/>
      </c>
      <c r="AP26" s="113" t="str">
        <f t="shared" si="20"/>
        <v>-</v>
      </c>
      <c r="AQ26" s="119"/>
      <c r="AR26" s="103" t="str">
        <f t="shared" si="21"/>
        <v/>
      </c>
      <c r="AY26" s="38" t="str">
        <f t="shared" si="1"/>
        <v/>
      </c>
      <c r="AZ26" s="38" t="str">
        <f t="shared" si="2"/>
        <v>0</v>
      </c>
      <c r="BA26" s="38" t="str">
        <f t="shared" si="3"/>
        <v>0</v>
      </c>
      <c r="BB26" s="38" t="str">
        <f t="shared" si="4"/>
        <v>0</v>
      </c>
      <c r="BC26" s="38">
        <f t="shared" si="5"/>
        <v>0</v>
      </c>
      <c r="BD26" s="38">
        <f t="shared" si="6"/>
        <v>0</v>
      </c>
      <c r="BL26" s="38" t="str">
        <f t="shared" si="7"/>
        <v/>
      </c>
      <c r="BM26" s="38" t="str">
        <f t="shared" si="8"/>
        <v/>
      </c>
      <c r="BN26" s="38" t="str">
        <f t="shared" si="9"/>
        <v/>
      </c>
      <c r="BO26" s="38" t="str">
        <f t="shared" si="10"/>
        <v/>
      </c>
      <c r="BP26" s="38" t="str">
        <f t="shared" si="11"/>
        <v/>
      </c>
      <c r="BQ26" s="38" t="str">
        <f t="shared" si="12"/>
        <v/>
      </c>
    </row>
    <row r="27" spans="1:69" ht="15.6" x14ac:dyDescent="0.3">
      <c r="A27" s="393"/>
      <c r="B27" s="394"/>
      <c r="C27" s="394"/>
      <c r="D27" s="394"/>
      <c r="E27" s="81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9"/>
      <c r="Z27" s="139"/>
      <c r="AA27" s="140"/>
      <c r="AB27" s="141" t="s">
        <v>16</v>
      </c>
      <c r="AC27" s="140"/>
      <c r="AD27" s="142"/>
      <c r="AE27" s="143"/>
      <c r="AF27" s="143"/>
      <c r="AG27" s="144"/>
      <c r="AH27" s="145"/>
      <c r="AI27" s="145"/>
      <c r="AJ27" s="342"/>
      <c r="AK27" s="343"/>
      <c r="AL27" s="346"/>
      <c r="AM27" s="347"/>
      <c r="AN27" s="146"/>
      <c r="AO27" s="101" t="str">
        <f t="shared" si="19"/>
        <v/>
      </c>
      <c r="AP27" s="113" t="str">
        <f t="shared" si="20"/>
        <v>-</v>
      </c>
      <c r="AQ27" s="119"/>
      <c r="AR27" s="103" t="str">
        <f t="shared" si="21"/>
        <v/>
      </c>
      <c r="AY27" s="38" t="str">
        <f t="shared" si="1"/>
        <v/>
      </c>
      <c r="AZ27" s="38" t="str">
        <f t="shared" si="2"/>
        <v>0</v>
      </c>
      <c r="BA27" s="38" t="str">
        <f t="shared" si="3"/>
        <v>0</v>
      </c>
      <c r="BB27" s="38" t="str">
        <f t="shared" si="4"/>
        <v>0</v>
      </c>
      <c r="BC27" s="38">
        <f t="shared" si="5"/>
        <v>0</v>
      </c>
      <c r="BD27" s="38">
        <f t="shared" si="6"/>
        <v>0</v>
      </c>
      <c r="BL27" s="38" t="str">
        <f t="shared" si="7"/>
        <v/>
      </c>
      <c r="BM27" s="38" t="str">
        <f t="shared" si="8"/>
        <v/>
      </c>
      <c r="BN27" s="38" t="str">
        <f t="shared" si="9"/>
        <v/>
      </c>
      <c r="BO27" s="38" t="str">
        <f t="shared" si="10"/>
        <v/>
      </c>
      <c r="BP27" s="38" t="str">
        <f t="shared" si="11"/>
        <v/>
      </c>
      <c r="BQ27" s="38" t="str">
        <f t="shared" si="12"/>
        <v/>
      </c>
    </row>
    <row r="28" spans="1:69" ht="15.6" x14ac:dyDescent="0.3">
      <c r="A28" s="395"/>
      <c r="B28" s="396"/>
      <c r="C28" s="396"/>
      <c r="D28" s="396"/>
      <c r="E28" s="81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1"/>
      <c r="Z28" s="147"/>
      <c r="AA28" s="140"/>
      <c r="AB28" s="148" t="str">
        <f>+AB25</f>
        <v>-</v>
      </c>
      <c r="AC28" s="140"/>
      <c r="AD28" s="142"/>
      <c r="AE28" s="143"/>
      <c r="AF28" s="143"/>
      <c r="AG28" s="144"/>
      <c r="AH28" s="145"/>
      <c r="AI28" s="145"/>
      <c r="AJ28" s="342"/>
      <c r="AK28" s="343"/>
      <c r="AL28" s="346"/>
      <c r="AM28" s="347"/>
      <c r="AN28" s="146"/>
      <c r="AO28" s="101" t="str">
        <f t="shared" si="19"/>
        <v/>
      </c>
      <c r="AP28" s="113" t="str">
        <f t="shared" si="20"/>
        <v>-</v>
      </c>
      <c r="AQ28" s="119"/>
      <c r="AR28" s="103" t="str">
        <f t="shared" si="21"/>
        <v/>
      </c>
      <c r="AY28" s="38" t="str">
        <f t="shared" si="1"/>
        <v/>
      </c>
      <c r="AZ28" s="38" t="str">
        <f t="shared" si="2"/>
        <v>0</v>
      </c>
      <c r="BA28" s="38" t="str">
        <f t="shared" si="3"/>
        <v>0</v>
      </c>
      <c r="BB28" s="38" t="str">
        <f t="shared" si="4"/>
        <v>0</v>
      </c>
      <c r="BC28" s="38">
        <f t="shared" si="5"/>
        <v>0</v>
      </c>
      <c r="BD28" s="38">
        <f t="shared" si="6"/>
        <v>0</v>
      </c>
      <c r="BL28" s="38" t="str">
        <f t="shared" si="7"/>
        <v/>
      </c>
      <c r="BM28" s="38" t="str">
        <f t="shared" si="8"/>
        <v/>
      </c>
      <c r="BN28" s="38" t="str">
        <f t="shared" si="9"/>
        <v/>
      </c>
      <c r="BO28" s="38" t="str">
        <f t="shared" si="10"/>
        <v/>
      </c>
      <c r="BP28" s="38" t="str">
        <f t="shared" si="11"/>
        <v/>
      </c>
      <c r="BQ28" s="38" t="str">
        <f t="shared" si="12"/>
        <v/>
      </c>
    </row>
    <row r="29" spans="1:69" ht="15.6" x14ac:dyDescent="0.3">
      <c r="A29" s="86" t="s">
        <v>0</v>
      </c>
      <c r="B29" s="87" t="s">
        <v>1</v>
      </c>
      <c r="C29" s="64"/>
      <c r="D29" s="89"/>
      <c r="E29" s="88" t="s">
        <v>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90"/>
      <c r="V29" s="91" t="s">
        <v>3</v>
      </c>
      <c r="W29" s="91" t="s">
        <v>4</v>
      </c>
      <c r="X29" s="91" t="s">
        <v>5</v>
      </c>
      <c r="Y29" s="92" t="s">
        <v>6</v>
      </c>
      <c r="Z29" s="111"/>
      <c r="AA29" s="149"/>
      <c r="AB29" s="150" t="str">
        <f t="shared" si="16"/>
        <v>-</v>
      </c>
      <c r="AC29" s="149"/>
      <c r="AD29" s="151"/>
      <c r="AE29" s="152"/>
      <c r="AF29" s="152"/>
      <c r="AG29" s="153"/>
      <c r="AH29" s="154"/>
      <c r="AI29" s="154"/>
      <c r="AJ29" s="342"/>
      <c r="AK29" s="343"/>
      <c r="AL29" s="348"/>
      <c r="AM29" s="349"/>
      <c r="AN29" s="155"/>
      <c r="AO29" s="101" t="str">
        <f t="shared" si="19"/>
        <v/>
      </c>
      <c r="AP29" s="113" t="str">
        <f t="shared" si="20"/>
        <v>-</v>
      </c>
      <c r="AQ29" s="119"/>
      <c r="AR29" s="103" t="str">
        <f t="shared" si="21"/>
        <v/>
      </c>
      <c r="AY29" s="38" t="str">
        <f t="shared" si="1"/>
        <v/>
      </c>
      <c r="AZ29" s="38" t="str">
        <f t="shared" si="2"/>
        <v>0</v>
      </c>
      <c r="BA29" s="38" t="str">
        <f t="shared" si="3"/>
        <v>0</v>
      </c>
      <c r="BB29" s="38" t="str">
        <f t="shared" si="4"/>
        <v>0</v>
      </c>
      <c r="BC29" s="38">
        <f t="shared" si="5"/>
        <v>0</v>
      </c>
      <c r="BD29" s="38">
        <f t="shared" si="6"/>
        <v>0</v>
      </c>
      <c r="BL29" s="38" t="str">
        <f t="shared" si="7"/>
        <v/>
      </c>
      <c r="BM29" s="38" t="str">
        <f t="shared" si="8"/>
        <v/>
      </c>
      <c r="BN29" s="38" t="str">
        <f t="shared" si="9"/>
        <v/>
      </c>
      <c r="BO29" s="38" t="str">
        <f t="shared" si="10"/>
        <v/>
      </c>
      <c r="BP29" s="38" t="str">
        <f t="shared" si="11"/>
        <v/>
      </c>
      <c r="BQ29" s="38" t="str">
        <f t="shared" si="12"/>
        <v/>
      </c>
    </row>
    <row r="30" spans="1:69" ht="15.6" x14ac:dyDescent="0.3">
      <c r="A30" s="104" t="s">
        <v>265</v>
      </c>
      <c r="B30" s="397">
        <f>IF(ISBLANK(HLOOKUP($F$25,spelerslijsten!$B$1:$J$22,4,FALSE)),"",HLOOKUP($F$25,spelerslijsten!$B$1:$J$22,4,FALSE))</f>
        <v>2</v>
      </c>
      <c r="C30" s="398"/>
      <c r="D30" s="105"/>
      <c r="E30" s="106" t="str">
        <f>IF(ISBLANK(HLOOKUP($F$25,spelerslijsten!$B$1:$J$22,3,FALSE)),"",HLOOKUP($F$25,spelerslijsten!$B$1:$J$22,3,FALSE))</f>
        <v>Willy van Grunsven</v>
      </c>
      <c r="F30" s="105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8">
        <f t="shared" ref="V30:V39" si="23">SUMIF($AY$13:$AY$46,AT30,$BC$13:$BC$46)</f>
        <v>0</v>
      </c>
      <c r="W30" s="109" t="str">
        <f>IF(AU30&gt;0,"x","")</f>
        <v/>
      </c>
      <c r="X30" s="110" t="str">
        <f>IF(AU30&gt;1,"x","")</f>
        <v/>
      </c>
      <c r="Y30" s="103" t="str">
        <f>IF(AU30&gt;2,"x","")</f>
        <v/>
      </c>
      <c r="Z30" s="111"/>
      <c r="AA30" s="112"/>
      <c r="AB30" s="113" t="str">
        <f t="shared" si="16"/>
        <v>-</v>
      </c>
      <c r="AC30" s="112"/>
      <c r="AD30" s="114"/>
      <c r="AE30" s="115"/>
      <c r="AF30" s="115"/>
      <c r="AG30" s="116"/>
      <c r="AH30" s="117"/>
      <c r="AI30" s="117"/>
      <c r="AJ30" s="342"/>
      <c r="AK30" s="343"/>
      <c r="AL30" s="346"/>
      <c r="AM30" s="347"/>
      <c r="AN30" s="118"/>
      <c r="AO30" s="101" t="str">
        <f t="shared" si="19"/>
        <v/>
      </c>
      <c r="AP30" s="113" t="str">
        <f t="shared" si="20"/>
        <v>-</v>
      </c>
      <c r="AQ30" s="119"/>
      <c r="AR30" s="103" t="str">
        <f t="shared" si="21"/>
        <v/>
      </c>
      <c r="AT30" s="38" t="str">
        <f>CONCATENATE($AV$11&amp;B30)</f>
        <v>B2</v>
      </c>
      <c r="AU30" s="38">
        <f t="shared" si="18"/>
        <v>0</v>
      </c>
      <c r="AY30" s="38" t="str">
        <f t="shared" si="1"/>
        <v/>
      </c>
      <c r="AZ30" s="38" t="str">
        <f t="shared" si="2"/>
        <v>0</v>
      </c>
      <c r="BA30" s="38" t="str">
        <f t="shared" si="3"/>
        <v>0</v>
      </c>
      <c r="BB30" s="38" t="str">
        <f t="shared" si="4"/>
        <v>0</v>
      </c>
      <c r="BC30" s="38">
        <f t="shared" si="5"/>
        <v>0</v>
      </c>
      <c r="BD30" s="38">
        <f t="shared" si="6"/>
        <v>0</v>
      </c>
      <c r="BL30" s="38" t="str">
        <f t="shared" si="7"/>
        <v/>
      </c>
      <c r="BM30" s="38" t="str">
        <f t="shared" si="8"/>
        <v/>
      </c>
      <c r="BN30" s="38" t="str">
        <f t="shared" si="9"/>
        <v/>
      </c>
      <c r="BO30" s="38" t="str">
        <f t="shared" si="10"/>
        <v/>
      </c>
      <c r="BP30" s="38" t="str">
        <f t="shared" si="11"/>
        <v/>
      </c>
      <c r="BQ30" s="38" t="str">
        <f t="shared" si="12"/>
        <v/>
      </c>
    </row>
    <row r="31" spans="1:69" ht="15.6" x14ac:dyDescent="0.3">
      <c r="A31" s="120" t="s">
        <v>265</v>
      </c>
      <c r="B31" s="397">
        <f>IF(ISBLANK(HLOOKUP($F$25,spelerslijsten!$B$1:$J$22,6,FALSE)),"",HLOOKUP($F$25,spelerslijsten!$B$1:$J$22,6,FALSE))</f>
        <v>3</v>
      </c>
      <c r="C31" s="398"/>
      <c r="D31" s="121"/>
      <c r="E31" s="122" t="str">
        <f>IF(ISBLANK(HLOOKUP($F$25,spelerslijsten!$B$1:$J$22,5,FALSE)),"",HLOOKUP($F$25,spelerslijsten!$B$1:$J$22,5,FALSE))</f>
        <v>Manuel Bastiaans</v>
      </c>
      <c r="F31" s="12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08">
        <f t="shared" si="23"/>
        <v>0</v>
      </c>
      <c r="W31" s="109" t="str">
        <f t="shared" ref="W31:W39" si="24">IF(AU31&gt;0,"x","")</f>
        <v>x</v>
      </c>
      <c r="X31" s="110" t="str">
        <f t="shared" ref="X31:X39" si="25">IF(AU31&gt;1,"x","")</f>
        <v/>
      </c>
      <c r="Y31" s="103" t="str">
        <f t="shared" ref="Y31:Y39" si="26">IF(AU31&gt;2,"x","")</f>
        <v/>
      </c>
      <c r="Z31" s="111"/>
      <c r="AA31" s="112"/>
      <c r="AB31" s="113" t="str">
        <f t="shared" si="16"/>
        <v>-</v>
      </c>
      <c r="AC31" s="112"/>
      <c r="AD31" s="114"/>
      <c r="AE31" s="115"/>
      <c r="AF31" s="115"/>
      <c r="AG31" s="116"/>
      <c r="AH31" s="117"/>
      <c r="AI31" s="117"/>
      <c r="AJ31" s="342"/>
      <c r="AK31" s="343"/>
      <c r="AL31" s="346"/>
      <c r="AM31" s="347"/>
      <c r="AN31" s="118"/>
      <c r="AO31" s="101" t="str">
        <f t="shared" si="19"/>
        <v/>
      </c>
      <c r="AP31" s="113" t="str">
        <f t="shared" si="20"/>
        <v>-</v>
      </c>
      <c r="AQ31" s="119"/>
      <c r="AR31" s="103" t="str">
        <f t="shared" si="21"/>
        <v/>
      </c>
      <c r="AT31" s="38" t="str">
        <f t="shared" ref="AT31:AT39" si="27">CONCATENATE($AV$11&amp;B31)</f>
        <v>B3</v>
      </c>
      <c r="AU31" s="38">
        <f t="shared" si="18"/>
        <v>1</v>
      </c>
      <c r="AY31" s="38" t="str">
        <f t="shared" si="1"/>
        <v/>
      </c>
      <c r="AZ31" s="38" t="str">
        <f t="shared" si="2"/>
        <v>0</v>
      </c>
      <c r="BA31" s="38" t="str">
        <f t="shared" si="3"/>
        <v>0</v>
      </c>
      <c r="BB31" s="38" t="str">
        <f t="shared" si="4"/>
        <v>0</v>
      </c>
      <c r="BC31" s="38">
        <f t="shared" si="5"/>
        <v>0</v>
      </c>
      <c r="BD31" s="38">
        <f t="shared" si="6"/>
        <v>0</v>
      </c>
      <c r="BL31" s="38" t="str">
        <f t="shared" si="7"/>
        <v/>
      </c>
      <c r="BM31" s="38" t="str">
        <f t="shared" si="8"/>
        <v/>
      </c>
      <c r="BN31" s="38" t="str">
        <f t="shared" si="9"/>
        <v/>
      </c>
      <c r="BO31" s="38" t="str">
        <f t="shared" si="10"/>
        <v/>
      </c>
      <c r="BP31" s="38" t="str">
        <f t="shared" si="11"/>
        <v/>
      </c>
      <c r="BQ31" s="38" t="str">
        <f t="shared" si="12"/>
        <v/>
      </c>
    </row>
    <row r="32" spans="1:69" ht="15.6" x14ac:dyDescent="0.3">
      <c r="A32" s="124" t="s">
        <v>265</v>
      </c>
      <c r="B32" s="397">
        <f>IF(ISBLANK(HLOOKUP($F$25,spelerslijsten!$B$1:$J$22,8,FALSE)),"",HLOOKUP($F$25,spelerslijsten!$B$1:$J$22,8,FALSE))</f>
        <v>4</v>
      </c>
      <c r="C32" s="398"/>
      <c r="D32" s="121"/>
      <c r="E32" s="122" t="str">
        <f>IF(ISBLANK(HLOOKUP($F$25,spelerslijsten!$B$1:$J$22,7,FALSE)),"",HLOOKUP($F$25,spelerslijsten!$B$1:$J$22,7,FALSE))</f>
        <v>Marga Schouten</v>
      </c>
      <c r="F32" s="12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08">
        <f t="shared" si="23"/>
        <v>0</v>
      </c>
      <c r="W32" s="109" t="str">
        <f t="shared" si="24"/>
        <v/>
      </c>
      <c r="X32" s="110" t="str">
        <f t="shared" si="25"/>
        <v/>
      </c>
      <c r="Y32" s="103" t="str">
        <f t="shared" si="26"/>
        <v/>
      </c>
      <c r="Z32" s="111"/>
      <c r="AA32" s="112"/>
      <c r="AB32" s="113" t="str">
        <f t="shared" si="16"/>
        <v>-</v>
      </c>
      <c r="AC32" s="112"/>
      <c r="AD32" s="114"/>
      <c r="AE32" s="115"/>
      <c r="AF32" s="115"/>
      <c r="AG32" s="116"/>
      <c r="AH32" s="117"/>
      <c r="AI32" s="117"/>
      <c r="AJ32" s="342"/>
      <c r="AK32" s="343"/>
      <c r="AL32" s="346"/>
      <c r="AM32" s="347"/>
      <c r="AN32" s="118"/>
      <c r="AO32" s="101" t="str">
        <f t="shared" si="19"/>
        <v/>
      </c>
      <c r="AP32" s="113" t="str">
        <f t="shared" si="20"/>
        <v>-</v>
      </c>
      <c r="AQ32" s="119"/>
      <c r="AR32" s="103" t="str">
        <f t="shared" si="21"/>
        <v/>
      </c>
      <c r="AT32" s="38" t="str">
        <f t="shared" si="27"/>
        <v>B4</v>
      </c>
      <c r="AU32" s="38">
        <f t="shared" si="18"/>
        <v>0</v>
      </c>
      <c r="AY32" s="38" t="str">
        <f t="shared" si="1"/>
        <v/>
      </c>
      <c r="AZ32" s="38" t="str">
        <f t="shared" si="2"/>
        <v>0</v>
      </c>
      <c r="BA32" s="38" t="str">
        <f t="shared" si="3"/>
        <v>0</v>
      </c>
      <c r="BB32" s="38" t="str">
        <f t="shared" si="4"/>
        <v>0</v>
      </c>
      <c r="BC32" s="38">
        <f t="shared" si="5"/>
        <v>0</v>
      </c>
      <c r="BD32" s="38">
        <f t="shared" si="6"/>
        <v>0</v>
      </c>
      <c r="BL32" s="38" t="str">
        <f t="shared" si="7"/>
        <v/>
      </c>
      <c r="BM32" s="38" t="str">
        <f t="shared" si="8"/>
        <v/>
      </c>
      <c r="BN32" s="38" t="str">
        <f t="shared" si="9"/>
        <v/>
      </c>
      <c r="BO32" s="38" t="str">
        <f t="shared" si="10"/>
        <v/>
      </c>
      <c r="BP32" s="38" t="str">
        <f t="shared" si="11"/>
        <v/>
      </c>
      <c r="BQ32" s="38" t="str">
        <f t="shared" si="12"/>
        <v/>
      </c>
    </row>
    <row r="33" spans="1:69" ht="15.6" x14ac:dyDescent="0.3">
      <c r="A33" s="124" t="s">
        <v>265</v>
      </c>
      <c r="B33" s="397">
        <f>IF(ISBLANK(HLOOKUP($F$25,spelerslijsten!$B$1:$J$22,10,FALSE)),"",HLOOKUP($F$25,spelerslijsten!$B$1:$J$22,10,FALSE))</f>
        <v>6</v>
      </c>
      <c r="C33" s="398"/>
      <c r="D33" s="121"/>
      <c r="E33" s="122" t="str">
        <f>IF(ISBLANK(HLOOKUP($F$25,spelerslijsten!$B$1:$J$22,9,FALSE)),"",HLOOKUP($F$25,spelerslijsten!$B$1:$J$22,9,FALSE))</f>
        <v>Anja Braken</v>
      </c>
      <c r="F33" s="12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08">
        <f t="shared" si="23"/>
        <v>0</v>
      </c>
      <c r="W33" s="109" t="str">
        <f t="shared" si="24"/>
        <v/>
      </c>
      <c r="X33" s="110" t="str">
        <f t="shared" si="25"/>
        <v/>
      </c>
      <c r="Y33" s="103" t="str">
        <f t="shared" si="26"/>
        <v/>
      </c>
      <c r="Z33" s="111"/>
      <c r="AA33" s="112"/>
      <c r="AB33" s="113" t="str">
        <f t="shared" si="16"/>
        <v>-</v>
      </c>
      <c r="AC33" s="112"/>
      <c r="AD33" s="114"/>
      <c r="AE33" s="115"/>
      <c r="AF33" s="115"/>
      <c r="AG33" s="116"/>
      <c r="AH33" s="117"/>
      <c r="AI33" s="117"/>
      <c r="AJ33" s="342"/>
      <c r="AK33" s="343"/>
      <c r="AL33" s="346"/>
      <c r="AM33" s="347"/>
      <c r="AN33" s="118"/>
      <c r="AO33" s="101" t="str">
        <f t="shared" si="19"/>
        <v/>
      </c>
      <c r="AP33" s="113" t="str">
        <f t="shared" si="20"/>
        <v>-</v>
      </c>
      <c r="AQ33" s="119"/>
      <c r="AR33" s="103" t="str">
        <f t="shared" si="21"/>
        <v/>
      </c>
      <c r="AT33" s="38" t="str">
        <f t="shared" si="27"/>
        <v>B6</v>
      </c>
      <c r="AU33" s="38">
        <f t="shared" si="18"/>
        <v>0</v>
      </c>
      <c r="AY33" s="38" t="str">
        <f t="shared" si="1"/>
        <v/>
      </c>
      <c r="AZ33" s="38" t="str">
        <f t="shared" si="2"/>
        <v>0</v>
      </c>
      <c r="BA33" s="38" t="str">
        <f t="shared" si="3"/>
        <v>0</v>
      </c>
      <c r="BB33" s="38" t="str">
        <f t="shared" si="4"/>
        <v>0</v>
      </c>
      <c r="BC33" s="38">
        <f t="shared" si="5"/>
        <v>0</v>
      </c>
      <c r="BD33" s="38">
        <f t="shared" si="6"/>
        <v>0</v>
      </c>
      <c r="BL33" s="38" t="str">
        <f t="shared" si="7"/>
        <v/>
      </c>
      <c r="BM33" s="38" t="str">
        <f t="shared" si="8"/>
        <v/>
      </c>
      <c r="BN33" s="38" t="str">
        <f t="shared" si="9"/>
        <v/>
      </c>
      <c r="BO33" s="38" t="str">
        <f t="shared" si="10"/>
        <v/>
      </c>
      <c r="BP33" s="38" t="str">
        <f t="shared" si="11"/>
        <v/>
      </c>
      <c r="BQ33" s="38" t="str">
        <f t="shared" si="12"/>
        <v/>
      </c>
    </row>
    <row r="34" spans="1:69" ht="15.6" x14ac:dyDescent="0.3">
      <c r="A34" s="124" t="s">
        <v>265</v>
      </c>
      <c r="B34" s="397">
        <f>IF(ISBLANK(HLOOKUP($F$25,spelerslijsten!$B$1:$J$22,12,FALSE)),"",HLOOKUP($F$25,spelerslijsten!$B$1:$J$22,12,FALSE))</f>
        <v>7</v>
      </c>
      <c r="C34" s="398"/>
      <c r="D34" s="121"/>
      <c r="E34" s="122" t="str">
        <f>IF(ISBLANK(HLOOKUP($F$25,spelerslijsten!$B$1:$J$22,11,FALSE)),"",HLOOKUP($F$25,spelerslijsten!$B$1:$J$22,11,FALSE))</f>
        <v>Mieke van Gerwen</v>
      </c>
      <c r="F34" s="12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08">
        <f t="shared" si="23"/>
        <v>0</v>
      </c>
      <c r="W34" s="109" t="str">
        <f t="shared" si="24"/>
        <v/>
      </c>
      <c r="X34" s="110" t="str">
        <f t="shared" si="25"/>
        <v/>
      </c>
      <c r="Y34" s="103" t="str">
        <f t="shared" si="26"/>
        <v/>
      </c>
      <c r="Z34" s="111"/>
      <c r="AA34" s="112"/>
      <c r="AB34" s="113" t="str">
        <f t="shared" si="16"/>
        <v>-</v>
      </c>
      <c r="AC34" s="112"/>
      <c r="AD34" s="114"/>
      <c r="AE34" s="115"/>
      <c r="AF34" s="115"/>
      <c r="AG34" s="116"/>
      <c r="AH34" s="117"/>
      <c r="AI34" s="117"/>
      <c r="AJ34" s="342"/>
      <c r="AK34" s="343"/>
      <c r="AL34" s="346"/>
      <c r="AM34" s="347"/>
      <c r="AN34" s="118"/>
      <c r="AO34" s="101" t="str">
        <f t="shared" si="19"/>
        <v/>
      </c>
      <c r="AP34" s="113" t="str">
        <f t="shared" si="20"/>
        <v>-</v>
      </c>
      <c r="AQ34" s="119"/>
      <c r="AR34" s="103" t="str">
        <f t="shared" si="21"/>
        <v/>
      </c>
      <c r="AT34" s="38" t="str">
        <f t="shared" si="27"/>
        <v>B7</v>
      </c>
      <c r="AU34" s="38">
        <f t="shared" si="18"/>
        <v>0</v>
      </c>
      <c r="AY34" s="38" t="str">
        <f t="shared" si="1"/>
        <v/>
      </c>
      <c r="AZ34" s="38" t="str">
        <f t="shared" si="2"/>
        <v>0</v>
      </c>
      <c r="BA34" s="38" t="str">
        <f t="shared" si="3"/>
        <v>0</v>
      </c>
      <c r="BB34" s="38" t="str">
        <f t="shared" si="4"/>
        <v>0</v>
      </c>
      <c r="BC34" s="38">
        <f t="shared" si="5"/>
        <v>0</v>
      </c>
      <c r="BD34" s="38">
        <f t="shared" si="6"/>
        <v>0</v>
      </c>
      <c r="BL34" s="38" t="str">
        <f t="shared" si="7"/>
        <v/>
      </c>
      <c r="BM34" s="38" t="str">
        <f t="shared" si="8"/>
        <v/>
      </c>
      <c r="BN34" s="38" t="str">
        <f t="shared" si="9"/>
        <v/>
      </c>
      <c r="BO34" s="38" t="str">
        <f t="shared" si="10"/>
        <v/>
      </c>
      <c r="BP34" s="38" t="str">
        <f t="shared" si="11"/>
        <v/>
      </c>
      <c r="BQ34" s="38" t="str">
        <f t="shared" si="12"/>
        <v/>
      </c>
    </row>
    <row r="35" spans="1:69" ht="15.6" x14ac:dyDescent="0.3">
      <c r="A35" s="124" t="s">
        <v>265</v>
      </c>
      <c r="B35" s="397">
        <f>IF(ISBLANK(HLOOKUP($F$25,spelerslijsten!$B$1:$J$22,14,FALSE)),"",HLOOKUP($F$25,spelerslijsten!$B$1:$J$22,14,FALSE))</f>
        <v>8</v>
      </c>
      <c r="C35" s="398"/>
      <c r="D35" s="121"/>
      <c r="E35" s="122" t="str">
        <f>IF(ISBLANK(HLOOKUP($F$25,spelerslijsten!$B$1:$J$22,13,FALSE)),"",HLOOKUP($F$25,spelerslijsten!$B$1:$J$22,13,FALSE))</f>
        <v>Susan van Wanrooy</v>
      </c>
      <c r="F35" s="12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08">
        <f t="shared" si="23"/>
        <v>0</v>
      </c>
      <c r="W35" s="109" t="str">
        <f t="shared" si="24"/>
        <v/>
      </c>
      <c r="X35" s="110" t="str">
        <f t="shared" si="25"/>
        <v/>
      </c>
      <c r="Y35" s="103" t="str">
        <f t="shared" si="26"/>
        <v/>
      </c>
      <c r="Z35" s="111"/>
      <c r="AA35" s="112"/>
      <c r="AB35" s="113" t="str">
        <f t="shared" si="16"/>
        <v>-</v>
      </c>
      <c r="AC35" s="112"/>
      <c r="AD35" s="114"/>
      <c r="AE35" s="115"/>
      <c r="AF35" s="115"/>
      <c r="AG35" s="116"/>
      <c r="AH35" s="117"/>
      <c r="AI35" s="117"/>
      <c r="AJ35" s="342"/>
      <c r="AK35" s="343"/>
      <c r="AL35" s="346"/>
      <c r="AM35" s="347"/>
      <c r="AN35" s="118"/>
      <c r="AO35" s="101" t="str">
        <f t="shared" si="19"/>
        <v/>
      </c>
      <c r="AP35" s="113" t="str">
        <f t="shared" si="20"/>
        <v>-</v>
      </c>
      <c r="AQ35" s="119"/>
      <c r="AR35" s="103" t="str">
        <f t="shared" si="21"/>
        <v/>
      </c>
      <c r="AT35" s="38" t="str">
        <f t="shared" si="27"/>
        <v>B8</v>
      </c>
      <c r="AU35" s="38">
        <f t="shared" si="18"/>
        <v>0</v>
      </c>
      <c r="AY35" s="38" t="str">
        <f t="shared" si="1"/>
        <v/>
      </c>
      <c r="AZ35" s="38" t="str">
        <f t="shared" si="2"/>
        <v>0</v>
      </c>
      <c r="BA35" s="38" t="str">
        <f t="shared" si="3"/>
        <v>0</v>
      </c>
      <c r="BB35" s="38" t="str">
        <f t="shared" si="4"/>
        <v>0</v>
      </c>
      <c r="BC35" s="38">
        <f t="shared" si="5"/>
        <v>0</v>
      </c>
      <c r="BD35" s="38">
        <f t="shared" si="6"/>
        <v>0</v>
      </c>
      <c r="BL35" s="38" t="str">
        <f t="shared" si="7"/>
        <v/>
      </c>
      <c r="BM35" s="38" t="str">
        <f t="shared" si="8"/>
        <v/>
      </c>
      <c r="BN35" s="38" t="str">
        <f t="shared" si="9"/>
        <v/>
      </c>
      <c r="BO35" s="38" t="str">
        <f t="shared" si="10"/>
        <v/>
      </c>
      <c r="BP35" s="38" t="str">
        <f t="shared" si="11"/>
        <v/>
      </c>
      <c r="BQ35" s="38" t="str">
        <f t="shared" si="12"/>
        <v/>
      </c>
    </row>
    <row r="36" spans="1:69" ht="15.6" x14ac:dyDescent="0.3">
      <c r="A36" s="124" t="s">
        <v>265</v>
      </c>
      <c r="B36" s="397">
        <f>IF(ISBLANK(HLOOKUP($F$25,spelerslijsten!$B$1:$J$22,16,FALSE)),"",HLOOKUP($F$25,spelerslijsten!$B$1:$J$22,16,FALSE))</f>
        <v>10</v>
      </c>
      <c r="C36" s="398"/>
      <c r="D36" s="121"/>
      <c r="E36" s="122" t="str">
        <f>IF(ISBLANK(HLOOKUP($F$25,spelerslijsten!$B$1:$J$22,15,FALSE)),"",HLOOKUP($F$25,spelerslijsten!$B$1:$J$22,15,FALSE))</f>
        <v>Jeffrey Danen</v>
      </c>
      <c r="F36" s="12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08">
        <f t="shared" si="23"/>
        <v>1</v>
      </c>
      <c r="W36" s="109" t="str">
        <f t="shared" si="24"/>
        <v/>
      </c>
      <c r="X36" s="110" t="str">
        <f t="shared" si="25"/>
        <v/>
      </c>
      <c r="Y36" s="103" t="str">
        <f t="shared" si="26"/>
        <v/>
      </c>
      <c r="Z36" s="111"/>
      <c r="AA36" s="112"/>
      <c r="AB36" s="113" t="str">
        <f t="shared" si="16"/>
        <v>-</v>
      </c>
      <c r="AC36" s="112"/>
      <c r="AD36" s="114"/>
      <c r="AE36" s="115"/>
      <c r="AF36" s="115"/>
      <c r="AG36" s="116"/>
      <c r="AH36" s="117"/>
      <c r="AI36" s="117"/>
      <c r="AJ36" s="342"/>
      <c r="AK36" s="343"/>
      <c r="AL36" s="346"/>
      <c r="AM36" s="347"/>
      <c r="AN36" s="118"/>
      <c r="AO36" s="101" t="str">
        <f t="shared" si="19"/>
        <v/>
      </c>
      <c r="AP36" s="113" t="str">
        <f t="shared" si="20"/>
        <v>-</v>
      </c>
      <c r="AQ36" s="119"/>
      <c r="AR36" s="103" t="str">
        <f t="shared" si="21"/>
        <v/>
      </c>
      <c r="AT36" s="38" t="str">
        <f t="shared" si="27"/>
        <v>B10</v>
      </c>
      <c r="AU36" s="38">
        <f t="shared" si="18"/>
        <v>0</v>
      </c>
      <c r="AY36" s="38" t="str">
        <f t="shared" si="1"/>
        <v/>
      </c>
      <c r="AZ36" s="38" t="str">
        <f t="shared" si="2"/>
        <v>0</v>
      </c>
      <c r="BA36" s="38" t="str">
        <f t="shared" si="3"/>
        <v>0</v>
      </c>
      <c r="BB36" s="38" t="str">
        <f t="shared" si="4"/>
        <v>0</v>
      </c>
      <c r="BC36" s="38">
        <f t="shared" si="5"/>
        <v>0</v>
      </c>
      <c r="BD36" s="38">
        <f t="shared" si="6"/>
        <v>0</v>
      </c>
      <c r="BL36" s="38" t="str">
        <f t="shared" si="7"/>
        <v/>
      </c>
      <c r="BM36" s="38" t="str">
        <f t="shared" si="8"/>
        <v/>
      </c>
      <c r="BN36" s="38" t="str">
        <f t="shared" si="9"/>
        <v/>
      </c>
      <c r="BO36" s="38" t="str">
        <f t="shared" si="10"/>
        <v/>
      </c>
      <c r="BP36" s="38" t="str">
        <f t="shared" si="11"/>
        <v/>
      </c>
      <c r="BQ36" s="38" t="str">
        <f t="shared" si="12"/>
        <v/>
      </c>
    </row>
    <row r="37" spans="1:69" ht="15.6" x14ac:dyDescent="0.3">
      <c r="A37" s="124"/>
      <c r="B37" s="397" t="str">
        <f>IF(ISBLANK(HLOOKUP($F$25,spelerslijsten!$B$1:$J$22,18,FALSE)),"",HLOOKUP($F$25,spelerslijsten!$B$1:$J$22,18,FALSE))</f>
        <v/>
      </c>
      <c r="C37" s="398"/>
      <c r="D37" s="121"/>
      <c r="E37" s="122" t="str">
        <f>IF(ISBLANK(HLOOKUP($F$25,spelerslijsten!$B$1:$J$22,17,FALSE)),"",HLOOKUP($F$25,spelerslijsten!$B$1:$J$22,17,FALSE))</f>
        <v/>
      </c>
      <c r="F37" s="12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08">
        <f t="shared" si="23"/>
        <v>0</v>
      </c>
      <c r="W37" s="109" t="str">
        <f t="shared" si="24"/>
        <v/>
      </c>
      <c r="X37" s="110" t="str">
        <f t="shared" si="25"/>
        <v/>
      </c>
      <c r="Y37" s="103" t="str">
        <f t="shared" si="26"/>
        <v/>
      </c>
      <c r="Z37" s="111"/>
      <c r="AA37" s="112"/>
      <c r="AB37" s="113" t="str">
        <f t="shared" si="16"/>
        <v>-</v>
      </c>
      <c r="AC37" s="112"/>
      <c r="AD37" s="114"/>
      <c r="AE37" s="115"/>
      <c r="AF37" s="115"/>
      <c r="AG37" s="116"/>
      <c r="AH37" s="117"/>
      <c r="AI37" s="117"/>
      <c r="AJ37" s="342"/>
      <c r="AK37" s="343"/>
      <c r="AL37" s="346"/>
      <c r="AM37" s="347"/>
      <c r="AN37" s="118"/>
      <c r="AO37" s="101" t="str">
        <f t="shared" si="19"/>
        <v/>
      </c>
      <c r="AP37" s="113" t="str">
        <f t="shared" si="20"/>
        <v>-</v>
      </c>
      <c r="AQ37" s="119"/>
      <c r="AR37" s="103" t="str">
        <f t="shared" si="21"/>
        <v/>
      </c>
      <c r="AT37" s="38" t="str">
        <f t="shared" si="27"/>
        <v>B</v>
      </c>
      <c r="AU37" s="38">
        <f t="shared" si="18"/>
        <v>0</v>
      </c>
      <c r="AY37" s="38" t="str">
        <f t="shared" si="1"/>
        <v/>
      </c>
      <c r="AZ37" s="38" t="str">
        <f t="shared" si="2"/>
        <v>0</v>
      </c>
      <c r="BA37" s="38" t="str">
        <f t="shared" si="3"/>
        <v>0</v>
      </c>
      <c r="BB37" s="38" t="str">
        <f t="shared" si="4"/>
        <v>0</v>
      </c>
      <c r="BC37" s="38">
        <f t="shared" si="5"/>
        <v>0</v>
      </c>
      <c r="BD37" s="38">
        <f t="shared" si="6"/>
        <v>0</v>
      </c>
      <c r="BL37" s="38" t="str">
        <f t="shared" si="7"/>
        <v/>
      </c>
      <c r="BM37" s="38" t="str">
        <f t="shared" si="8"/>
        <v/>
      </c>
      <c r="BN37" s="38" t="str">
        <f t="shared" si="9"/>
        <v/>
      </c>
      <c r="BO37" s="38" t="str">
        <f t="shared" si="10"/>
        <v/>
      </c>
      <c r="BP37" s="38" t="str">
        <f t="shared" si="11"/>
        <v/>
      </c>
      <c r="BQ37" s="38" t="str">
        <f t="shared" si="12"/>
        <v/>
      </c>
    </row>
    <row r="38" spans="1:69" ht="15.6" x14ac:dyDescent="0.3">
      <c r="A38" s="124"/>
      <c r="B38" s="397" t="str">
        <f>IF(ISBLANK(HLOOKUP($F$25,spelerslijsten!$B$1:$J$22,20,FALSE)),"",HLOOKUP($F$25,spelerslijsten!$B$1:$J$22,20,FALSE))</f>
        <v/>
      </c>
      <c r="C38" s="398"/>
      <c r="D38" s="121"/>
      <c r="E38" s="122" t="str">
        <f>IF(ISBLANK(HLOOKUP($F$25,spelerslijsten!$B$1:$J$22,19,FALSE)),"",HLOOKUP($F$25,spelerslijsten!$B$1:$J$22,19,FALSE))</f>
        <v/>
      </c>
      <c r="F38" s="12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08">
        <f t="shared" si="23"/>
        <v>0</v>
      </c>
      <c r="W38" s="109" t="str">
        <f t="shared" si="24"/>
        <v/>
      </c>
      <c r="X38" s="110" t="str">
        <f t="shared" si="25"/>
        <v/>
      </c>
      <c r="Y38" s="103" t="str">
        <f t="shared" si="26"/>
        <v/>
      </c>
      <c r="Z38" s="111"/>
      <c r="AA38" s="112"/>
      <c r="AB38" s="113" t="str">
        <f t="shared" si="16"/>
        <v>-</v>
      </c>
      <c r="AC38" s="112"/>
      <c r="AD38" s="114"/>
      <c r="AE38" s="115"/>
      <c r="AF38" s="115"/>
      <c r="AG38" s="116"/>
      <c r="AH38" s="117"/>
      <c r="AI38" s="117"/>
      <c r="AJ38" s="342"/>
      <c r="AK38" s="343"/>
      <c r="AL38" s="346"/>
      <c r="AM38" s="347"/>
      <c r="AN38" s="118"/>
      <c r="AO38" s="101" t="str">
        <f t="shared" si="19"/>
        <v/>
      </c>
      <c r="AP38" s="113" t="str">
        <f t="shared" si="20"/>
        <v>-</v>
      </c>
      <c r="AQ38" s="119"/>
      <c r="AR38" s="103" t="str">
        <f t="shared" si="21"/>
        <v/>
      </c>
      <c r="AT38" s="38" t="str">
        <f t="shared" si="27"/>
        <v>B</v>
      </c>
      <c r="AU38" s="38">
        <f t="shared" si="18"/>
        <v>0</v>
      </c>
      <c r="AY38" s="38" t="str">
        <f t="shared" si="1"/>
        <v/>
      </c>
      <c r="AZ38" s="38" t="str">
        <f t="shared" si="2"/>
        <v>0</v>
      </c>
      <c r="BA38" s="38" t="str">
        <f t="shared" si="3"/>
        <v>0</v>
      </c>
      <c r="BB38" s="38" t="str">
        <f t="shared" si="4"/>
        <v>0</v>
      </c>
      <c r="BC38" s="38">
        <f t="shared" si="5"/>
        <v>0</v>
      </c>
      <c r="BD38" s="38">
        <f t="shared" si="6"/>
        <v>0</v>
      </c>
      <c r="BL38" s="38" t="str">
        <f t="shared" si="7"/>
        <v/>
      </c>
      <c r="BM38" s="38" t="str">
        <f t="shared" si="8"/>
        <v/>
      </c>
      <c r="BN38" s="38" t="str">
        <f t="shared" si="9"/>
        <v/>
      </c>
      <c r="BO38" s="38" t="str">
        <f t="shared" si="10"/>
        <v/>
      </c>
      <c r="BP38" s="38" t="str">
        <f t="shared" si="11"/>
        <v/>
      </c>
      <c r="BQ38" s="38" t="str">
        <f t="shared" si="12"/>
        <v/>
      </c>
    </row>
    <row r="39" spans="1:69" ht="15.6" x14ac:dyDescent="0.3">
      <c r="A39" s="125"/>
      <c r="B39" s="397" t="str">
        <f>IF(ISBLANK(HLOOKUP($F$25,spelerslijsten!$B$1:$J$22,22,FALSE)),"",HLOOKUP($F$25,spelerslijsten!$B$1:$J$22,22,FALSE))</f>
        <v/>
      </c>
      <c r="C39" s="398"/>
      <c r="D39" s="126"/>
      <c r="E39" s="259" t="str">
        <f>IF(ISBLANK(HLOOKUP($F$25,spelerslijsten!$B$1:$J$22,21,FALSE)),"",HLOOKUP($F$25,spelerslijsten!$B$1:$J$22,21,FALSE))</f>
        <v/>
      </c>
      <c r="F39" s="126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08">
        <f t="shared" si="23"/>
        <v>0</v>
      </c>
      <c r="W39" s="109" t="str">
        <f t="shared" si="24"/>
        <v/>
      </c>
      <c r="X39" s="110" t="str">
        <f t="shared" si="25"/>
        <v/>
      </c>
      <c r="Y39" s="103" t="str">
        <f t="shared" si="26"/>
        <v/>
      </c>
      <c r="Z39" s="111"/>
      <c r="AA39" s="112"/>
      <c r="AB39" s="113" t="str">
        <f t="shared" si="16"/>
        <v>-</v>
      </c>
      <c r="AC39" s="112"/>
      <c r="AD39" s="114"/>
      <c r="AE39" s="115"/>
      <c r="AF39" s="115"/>
      <c r="AG39" s="116"/>
      <c r="AH39" s="117"/>
      <c r="AI39" s="117"/>
      <c r="AJ39" s="342"/>
      <c r="AK39" s="343"/>
      <c r="AL39" s="346"/>
      <c r="AM39" s="347"/>
      <c r="AN39" s="118"/>
      <c r="AO39" s="101" t="str">
        <f t="shared" si="19"/>
        <v/>
      </c>
      <c r="AP39" s="113" t="str">
        <f t="shared" si="20"/>
        <v>-</v>
      </c>
      <c r="AQ39" s="119"/>
      <c r="AR39" s="103" t="str">
        <f t="shared" si="21"/>
        <v/>
      </c>
      <c r="AT39" s="38" t="str">
        <f t="shared" si="27"/>
        <v>B</v>
      </c>
      <c r="AU39" s="38">
        <f t="shared" si="18"/>
        <v>0</v>
      </c>
      <c r="AY39" s="38" t="str">
        <f t="shared" si="1"/>
        <v/>
      </c>
      <c r="AZ39" s="38" t="str">
        <f t="shared" si="2"/>
        <v>0</v>
      </c>
      <c r="BA39" s="38" t="str">
        <f t="shared" si="3"/>
        <v>0</v>
      </c>
      <c r="BB39" s="38" t="str">
        <f t="shared" si="4"/>
        <v>0</v>
      </c>
      <c r="BC39" s="38">
        <f t="shared" si="5"/>
        <v>0</v>
      </c>
      <c r="BD39" s="38">
        <f t="shared" si="6"/>
        <v>0</v>
      </c>
      <c r="BL39" s="38" t="str">
        <f t="shared" si="7"/>
        <v/>
      </c>
      <c r="BM39" s="38" t="str">
        <f t="shared" si="8"/>
        <v/>
      </c>
      <c r="BN39" s="38" t="str">
        <f t="shared" si="9"/>
        <v/>
      </c>
      <c r="BO39" s="38" t="str">
        <f t="shared" si="10"/>
        <v/>
      </c>
      <c r="BP39" s="38" t="str">
        <f t="shared" si="11"/>
        <v/>
      </c>
      <c r="BQ39" s="38" t="str">
        <f t="shared" si="12"/>
        <v/>
      </c>
    </row>
    <row r="40" spans="1:69" ht="16.2" thickBot="1" x14ac:dyDescent="0.35">
      <c r="A40" s="71" t="s">
        <v>67</v>
      </c>
      <c r="B40" s="72"/>
      <c r="C40" s="72"/>
      <c r="D40" s="72"/>
      <c r="E40" s="72"/>
      <c r="F40" s="72"/>
      <c r="G40" s="72"/>
      <c r="H40" s="72"/>
      <c r="I40" s="399">
        <f>HLOOKUP(F25,spelerslijsten!B1:J25,25,FALSE)</f>
        <v>2</v>
      </c>
      <c r="J40" s="400"/>
      <c r="K40" s="74" t="s">
        <v>23</v>
      </c>
      <c r="L40" s="72"/>
      <c r="M40" s="72"/>
      <c r="N40" s="129" t="str">
        <f>HLOOKUP(F25,spelerslijsten!B1:J25,23,FALSE)</f>
        <v>Mieke Reijnders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30"/>
      <c r="Z40" s="111"/>
      <c r="AA40" s="112"/>
      <c r="AB40" s="113" t="str">
        <f t="shared" si="16"/>
        <v>-</v>
      </c>
      <c r="AC40" s="112"/>
      <c r="AD40" s="114"/>
      <c r="AE40" s="115"/>
      <c r="AF40" s="115"/>
      <c r="AG40" s="116"/>
      <c r="AH40" s="117"/>
      <c r="AI40" s="117"/>
      <c r="AJ40" s="342"/>
      <c r="AK40" s="343"/>
      <c r="AL40" s="346"/>
      <c r="AM40" s="347"/>
      <c r="AN40" s="118"/>
      <c r="AO40" s="101" t="str">
        <f t="shared" si="19"/>
        <v/>
      </c>
      <c r="AP40" s="113" t="str">
        <f t="shared" si="20"/>
        <v>-</v>
      </c>
      <c r="AQ40" s="119"/>
      <c r="AR40" s="103" t="str">
        <f t="shared" si="21"/>
        <v/>
      </c>
      <c r="AY40" s="38" t="str">
        <f t="shared" si="1"/>
        <v/>
      </c>
      <c r="AZ40" s="38" t="str">
        <f t="shared" si="2"/>
        <v>0</v>
      </c>
      <c r="BA40" s="38" t="str">
        <f t="shared" si="3"/>
        <v>0</v>
      </c>
      <c r="BB40" s="38" t="str">
        <f t="shared" si="4"/>
        <v>0</v>
      </c>
      <c r="BC40" s="38">
        <f t="shared" si="5"/>
        <v>0</v>
      </c>
      <c r="BD40" s="38">
        <f t="shared" si="6"/>
        <v>0</v>
      </c>
      <c r="BL40" s="38" t="str">
        <f t="shared" si="7"/>
        <v/>
      </c>
      <c r="BM40" s="38" t="str">
        <f t="shared" si="8"/>
        <v/>
      </c>
      <c r="BN40" s="38" t="str">
        <f t="shared" si="9"/>
        <v/>
      </c>
      <c r="BO40" s="38" t="str">
        <f t="shared" si="10"/>
        <v/>
      </c>
      <c r="BP40" s="38" t="str">
        <f t="shared" si="11"/>
        <v/>
      </c>
      <c r="BQ40" s="38" t="str">
        <f t="shared" si="12"/>
        <v/>
      </c>
    </row>
    <row r="41" spans="1:69" ht="15.6" x14ac:dyDescent="0.3">
      <c r="A41" s="157" t="s">
        <v>68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158"/>
      <c r="Z41" s="111"/>
      <c r="AA41" s="112"/>
      <c r="AB41" s="113" t="str">
        <f t="shared" si="16"/>
        <v>-</v>
      </c>
      <c r="AC41" s="112"/>
      <c r="AD41" s="114"/>
      <c r="AE41" s="115"/>
      <c r="AF41" s="115"/>
      <c r="AG41" s="116"/>
      <c r="AH41" s="117"/>
      <c r="AI41" s="117"/>
      <c r="AJ41" s="342"/>
      <c r="AK41" s="343"/>
      <c r="AL41" s="346"/>
      <c r="AM41" s="347"/>
      <c r="AN41" s="118"/>
      <c r="AO41" s="101" t="str">
        <f t="shared" si="19"/>
        <v/>
      </c>
      <c r="AP41" s="113" t="str">
        <f t="shared" si="20"/>
        <v>-</v>
      </c>
      <c r="AQ41" s="119"/>
      <c r="AR41" s="103" t="str">
        <f t="shared" si="21"/>
        <v/>
      </c>
      <c r="AY41" s="38" t="str">
        <f t="shared" si="1"/>
        <v/>
      </c>
      <c r="AZ41" s="38" t="str">
        <f t="shared" si="2"/>
        <v>0</v>
      </c>
      <c r="BA41" s="38" t="str">
        <f t="shared" si="3"/>
        <v>0</v>
      </c>
      <c r="BB41" s="38" t="str">
        <f t="shared" si="4"/>
        <v>0</v>
      </c>
      <c r="BC41" s="38">
        <f t="shared" si="5"/>
        <v>0</v>
      </c>
      <c r="BD41" s="38">
        <f t="shared" si="6"/>
        <v>0</v>
      </c>
      <c r="BL41" s="38" t="str">
        <f t="shared" si="7"/>
        <v/>
      </c>
      <c r="BM41" s="38" t="str">
        <f t="shared" si="8"/>
        <v/>
      </c>
      <c r="BN41" s="38" t="str">
        <f t="shared" si="9"/>
        <v/>
      </c>
      <c r="BO41" s="38" t="str">
        <f t="shared" si="10"/>
        <v/>
      </c>
      <c r="BP41" s="38" t="str">
        <f t="shared" si="11"/>
        <v/>
      </c>
      <c r="BQ41" s="38" t="str">
        <f t="shared" si="12"/>
        <v/>
      </c>
    </row>
    <row r="42" spans="1:69" ht="15.6" x14ac:dyDescent="0.3">
      <c r="A42" s="15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60"/>
      <c r="Z42" s="111"/>
      <c r="AA42" s="112"/>
      <c r="AB42" s="113" t="str">
        <f t="shared" si="16"/>
        <v>-</v>
      </c>
      <c r="AC42" s="112"/>
      <c r="AD42" s="114"/>
      <c r="AE42" s="115"/>
      <c r="AF42" s="115"/>
      <c r="AG42" s="116"/>
      <c r="AH42" s="117"/>
      <c r="AI42" s="117"/>
      <c r="AJ42" s="342"/>
      <c r="AK42" s="343"/>
      <c r="AL42" s="346"/>
      <c r="AM42" s="347"/>
      <c r="AN42" s="118"/>
      <c r="AO42" s="101" t="str">
        <f t="shared" si="19"/>
        <v/>
      </c>
      <c r="AP42" s="113" t="str">
        <f t="shared" si="20"/>
        <v>-</v>
      </c>
      <c r="AQ42" s="119"/>
      <c r="AR42" s="103" t="str">
        <f t="shared" si="21"/>
        <v/>
      </c>
      <c r="AY42" s="38" t="str">
        <f t="shared" si="1"/>
        <v/>
      </c>
      <c r="AZ42" s="38" t="str">
        <f t="shared" si="2"/>
        <v>0</v>
      </c>
      <c r="BA42" s="38" t="str">
        <f t="shared" si="3"/>
        <v>0</v>
      </c>
      <c r="BB42" s="38" t="str">
        <f t="shared" si="4"/>
        <v>0</v>
      </c>
      <c r="BC42" s="38">
        <f t="shared" si="5"/>
        <v>0</v>
      </c>
      <c r="BD42" s="38">
        <f t="shared" si="6"/>
        <v>0</v>
      </c>
      <c r="BL42" s="38" t="str">
        <f t="shared" si="7"/>
        <v/>
      </c>
      <c r="BM42" s="38" t="str">
        <f t="shared" si="8"/>
        <v/>
      </c>
      <c r="BN42" s="38" t="str">
        <f t="shared" si="9"/>
        <v/>
      </c>
      <c r="BO42" s="38" t="str">
        <f t="shared" si="10"/>
        <v/>
      </c>
      <c r="BP42" s="38" t="str">
        <f t="shared" si="11"/>
        <v/>
      </c>
      <c r="BQ42" s="38" t="str">
        <f t="shared" si="12"/>
        <v/>
      </c>
    </row>
    <row r="43" spans="1:69" ht="15.6" x14ac:dyDescent="0.3">
      <c r="A43" s="16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62"/>
      <c r="Z43" s="111"/>
      <c r="AA43" s="112"/>
      <c r="AB43" s="113" t="str">
        <f t="shared" si="16"/>
        <v>-</v>
      </c>
      <c r="AC43" s="112"/>
      <c r="AD43" s="114"/>
      <c r="AE43" s="115"/>
      <c r="AF43" s="115"/>
      <c r="AG43" s="116"/>
      <c r="AH43" s="117"/>
      <c r="AI43" s="117"/>
      <c r="AJ43" s="342"/>
      <c r="AK43" s="343"/>
      <c r="AL43" s="346"/>
      <c r="AM43" s="347"/>
      <c r="AN43" s="118"/>
      <c r="AO43" s="101" t="str">
        <f t="shared" si="19"/>
        <v/>
      </c>
      <c r="AP43" s="113" t="str">
        <f t="shared" si="20"/>
        <v>-</v>
      </c>
      <c r="AQ43" s="119"/>
      <c r="AR43" s="103" t="str">
        <f t="shared" si="21"/>
        <v/>
      </c>
      <c r="AY43" s="38" t="str">
        <f t="shared" si="1"/>
        <v/>
      </c>
      <c r="AZ43" s="38" t="str">
        <f t="shared" si="2"/>
        <v>0</v>
      </c>
      <c r="BA43" s="38" t="str">
        <f t="shared" si="3"/>
        <v>0</v>
      </c>
      <c r="BB43" s="38" t="str">
        <f t="shared" si="4"/>
        <v>0</v>
      </c>
      <c r="BC43" s="38">
        <f t="shared" si="5"/>
        <v>0</v>
      </c>
      <c r="BD43" s="38">
        <f t="shared" si="6"/>
        <v>0</v>
      </c>
      <c r="BL43" s="38" t="str">
        <f t="shared" si="7"/>
        <v/>
      </c>
      <c r="BM43" s="38" t="str">
        <f t="shared" si="8"/>
        <v/>
      </c>
      <c r="BN43" s="38" t="str">
        <f t="shared" si="9"/>
        <v/>
      </c>
      <c r="BO43" s="38" t="str">
        <f t="shared" si="10"/>
        <v/>
      </c>
      <c r="BP43" s="38" t="str">
        <f t="shared" si="11"/>
        <v/>
      </c>
      <c r="BQ43" s="38" t="str">
        <f t="shared" si="12"/>
        <v/>
      </c>
    </row>
    <row r="44" spans="1:69" ht="15.6" x14ac:dyDescent="0.3">
      <c r="A44" s="16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62"/>
      <c r="Z44" s="111"/>
      <c r="AA44" s="112"/>
      <c r="AB44" s="113" t="str">
        <f t="shared" si="16"/>
        <v>-</v>
      </c>
      <c r="AC44" s="112"/>
      <c r="AD44" s="114"/>
      <c r="AE44" s="115"/>
      <c r="AF44" s="115"/>
      <c r="AG44" s="116"/>
      <c r="AH44" s="117"/>
      <c r="AI44" s="117"/>
      <c r="AJ44" s="342"/>
      <c r="AK44" s="343"/>
      <c r="AL44" s="346"/>
      <c r="AM44" s="347"/>
      <c r="AN44" s="118"/>
      <c r="AO44" s="101" t="str">
        <f t="shared" si="19"/>
        <v/>
      </c>
      <c r="AP44" s="113" t="str">
        <f t="shared" si="20"/>
        <v>-</v>
      </c>
      <c r="AQ44" s="119"/>
      <c r="AR44" s="103" t="str">
        <f t="shared" si="21"/>
        <v/>
      </c>
      <c r="AY44" s="38" t="str">
        <f t="shared" si="1"/>
        <v/>
      </c>
      <c r="AZ44" s="38" t="str">
        <f t="shared" si="2"/>
        <v>0</v>
      </c>
      <c r="BA44" s="38" t="str">
        <f t="shared" si="3"/>
        <v>0</v>
      </c>
      <c r="BB44" s="38" t="str">
        <f t="shared" si="4"/>
        <v>0</v>
      </c>
      <c r="BC44" s="38">
        <f t="shared" si="5"/>
        <v>0</v>
      </c>
      <c r="BD44" s="38">
        <f t="shared" si="6"/>
        <v>0</v>
      </c>
      <c r="BL44" s="38" t="str">
        <f t="shared" si="7"/>
        <v/>
      </c>
      <c r="BM44" s="38" t="str">
        <f t="shared" si="8"/>
        <v/>
      </c>
      <c r="BN44" s="38" t="str">
        <f t="shared" si="9"/>
        <v/>
      </c>
      <c r="BO44" s="38" t="str">
        <f t="shared" si="10"/>
        <v/>
      </c>
      <c r="BP44" s="38" t="str">
        <f t="shared" si="11"/>
        <v/>
      </c>
      <c r="BQ44" s="38" t="str">
        <f t="shared" si="12"/>
        <v/>
      </c>
    </row>
    <row r="45" spans="1:69" ht="15.6" x14ac:dyDescent="0.3">
      <c r="A45" s="16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62"/>
      <c r="Z45" s="111"/>
      <c r="AA45" s="112"/>
      <c r="AB45" s="113" t="str">
        <f>+AB44</f>
        <v>-</v>
      </c>
      <c r="AC45" s="112"/>
      <c r="AD45" s="114"/>
      <c r="AE45" s="115"/>
      <c r="AF45" s="115"/>
      <c r="AG45" s="116"/>
      <c r="AH45" s="117"/>
      <c r="AI45" s="117"/>
      <c r="AJ45" s="342"/>
      <c r="AK45" s="343"/>
      <c r="AL45" s="346"/>
      <c r="AM45" s="347"/>
      <c r="AN45" s="118"/>
      <c r="AO45" s="101" t="str">
        <f t="shared" si="19"/>
        <v/>
      </c>
      <c r="AP45" s="113" t="str">
        <f t="shared" si="20"/>
        <v>-</v>
      </c>
      <c r="AQ45" s="119"/>
      <c r="AR45" s="103" t="str">
        <f t="shared" si="21"/>
        <v/>
      </c>
      <c r="AY45" s="38" t="str">
        <f t="shared" si="1"/>
        <v/>
      </c>
      <c r="AZ45" s="38" t="str">
        <f t="shared" si="2"/>
        <v>0</v>
      </c>
      <c r="BA45" s="38" t="str">
        <f t="shared" si="3"/>
        <v>0</v>
      </c>
      <c r="BB45" s="38" t="str">
        <f t="shared" si="4"/>
        <v>0</v>
      </c>
      <c r="BC45" s="38">
        <f t="shared" si="5"/>
        <v>0</v>
      </c>
      <c r="BD45" s="38">
        <f t="shared" si="6"/>
        <v>0</v>
      </c>
      <c r="BL45" s="38" t="str">
        <f t="shared" si="7"/>
        <v/>
      </c>
      <c r="BM45" s="38" t="str">
        <f t="shared" si="8"/>
        <v/>
      </c>
      <c r="BN45" s="38" t="str">
        <f t="shared" si="9"/>
        <v/>
      </c>
      <c r="BO45" s="38" t="str">
        <f t="shared" si="10"/>
        <v/>
      </c>
      <c r="BP45" s="38" t="str">
        <f t="shared" si="11"/>
        <v/>
      </c>
      <c r="BQ45" s="38" t="str">
        <f t="shared" si="12"/>
        <v/>
      </c>
    </row>
    <row r="46" spans="1:69" ht="16.2" thickBot="1" x14ac:dyDescent="0.35">
      <c r="A46" s="163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64"/>
      <c r="Z46" s="165"/>
      <c r="AA46" s="166"/>
      <c r="AB46" s="167" t="str">
        <f>+AB45</f>
        <v>-</v>
      </c>
      <c r="AC46" s="166"/>
      <c r="AD46" s="168"/>
      <c r="AE46" s="169"/>
      <c r="AF46" s="169"/>
      <c r="AG46" s="170"/>
      <c r="AH46" s="171"/>
      <c r="AI46" s="171"/>
      <c r="AJ46" s="344"/>
      <c r="AK46" s="345"/>
      <c r="AL46" s="352"/>
      <c r="AM46" s="353"/>
      <c r="AN46" s="172"/>
      <c r="AO46" s="101" t="str">
        <f t="shared" si="19"/>
        <v/>
      </c>
      <c r="AP46" s="113" t="str">
        <f t="shared" si="20"/>
        <v>-</v>
      </c>
      <c r="AQ46" s="119"/>
      <c r="AR46" s="103" t="str">
        <f t="shared" si="21"/>
        <v/>
      </c>
      <c r="AY46" s="38" t="str">
        <f t="shared" si="1"/>
        <v/>
      </c>
      <c r="AZ46" s="38" t="str">
        <f t="shared" si="2"/>
        <v>0</v>
      </c>
      <c r="BA46" s="38" t="str">
        <f t="shared" si="3"/>
        <v>0</v>
      </c>
      <c r="BB46" s="38" t="str">
        <f t="shared" si="4"/>
        <v>0</v>
      </c>
      <c r="BC46" s="38">
        <f t="shared" si="5"/>
        <v>0</v>
      </c>
      <c r="BD46" s="38">
        <f t="shared" si="6"/>
        <v>0</v>
      </c>
      <c r="BL46" s="38" t="str">
        <f t="shared" si="7"/>
        <v/>
      </c>
      <c r="BM46" s="38" t="str">
        <f t="shared" si="8"/>
        <v/>
      </c>
      <c r="BN46" s="38" t="str">
        <f t="shared" si="9"/>
        <v/>
      </c>
      <c r="BO46" s="38" t="str">
        <f t="shared" si="10"/>
        <v/>
      </c>
      <c r="BP46" s="38" t="str">
        <f t="shared" si="11"/>
        <v/>
      </c>
      <c r="BQ46" s="38" t="str">
        <f t="shared" si="12"/>
        <v/>
      </c>
    </row>
    <row r="47" spans="1:69" ht="18.600000000000001" thickBot="1" x14ac:dyDescent="0.35">
      <c r="A47" s="173" t="s">
        <v>69</v>
      </c>
      <c r="B47" s="174"/>
      <c r="C47" s="174"/>
      <c r="D47" s="174"/>
      <c r="E47" s="174"/>
      <c r="F47" s="174"/>
      <c r="G47" s="174">
        <f>IF(AO52&gt;AR52,AO52,IF(AO52=AR52,AO52,AR52))</f>
        <v>1</v>
      </c>
      <c r="H47" s="175" t="s">
        <v>16</v>
      </c>
      <c r="I47" s="174">
        <f>IF(AO52&gt;AR52,AR52,IF(AO52=AR52,AR52,AO52))</f>
        <v>1</v>
      </c>
      <c r="J47" s="174"/>
      <c r="K47" s="174" t="s">
        <v>70</v>
      </c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6" t="str">
        <f>BE52</f>
        <v>GELIJK</v>
      </c>
      <c r="W47" s="174"/>
      <c r="X47" s="174"/>
      <c r="Y47" s="174"/>
      <c r="Z47" s="174"/>
      <c r="AA47" s="174"/>
      <c r="AB47" s="174"/>
      <c r="AC47" s="174"/>
      <c r="AD47" s="177"/>
      <c r="AE47" s="178" t="s">
        <v>71</v>
      </c>
      <c r="AF47" s="179"/>
      <c r="AG47" s="179"/>
      <c r="AH47" s="179"/>
      <c r="AI47" s="179"/>
      <c r="AJ47" s="174"/>
      <c r="AK47" s="174"/>
      <c r="AL47" s="403" t="s">
        <v>177</v>
      </c>
      <c r="AM47" s="404"/>
      <c r="AN47" s="404"/>
      <c r="AO47" s="404"/>
      <c r="AP47" s="404"/>
      <c r="AQ47" s="404"/>
      <c r="AR47" s="405"/>
    </row>
    <row r="48" spans="1:69" x14ac:dyDescent="0.3">
      <c r="A48" s="180" t="s">
        <v>72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2"/>
      <c r="P48" s="183" t="s">
        <v>72</v>
      </c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2"/>
      <c r="AC48" s="181"/>
      <c r="AD48" s="184"/>
      <c r="AE48" s="185" t="s">
        <v>72</v>
      </c>
      <c r="AF48" s="186"/>
      <c r="AG48" s="186"/>
      <c r="AH48" s="186"/>
      <c r="AI48" s="186"/>
      <c r="AJ48" s="181"/>
      <c r="AK48" s="181"/>
      <c r="AL48" s="181"/>
      <c r="AM48" s="181"/>
      <c r="AN48" s="181"/>
      <c r="AO48" s="186"/>
      <c r="AP48" s="181"/>
      <c r="AQ48" s="181"/>
      <c r="AR48" s="187"/>
    </row>
    <row r="49" spans="1:57" x14ac:dyDescent="0.3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/>
      <c r="P49" s="191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90"/>
      <c r="AC49" s="189"/>
      <c r="AD49" s="192"/>
      <c r="AE49" s="193"/>
      <c r="AF49" s="193"/>
      <c r="AG49" s="193"/>
      <c r="AH49" s="193"/>
      <c r="AI49" s="193"/>
      <c r="AJ49" s="189"/>
      <c r="AK49" s="189"/>
      <c r="AL49" s="189"/>
      <c r="AM49" s="189"/>
      <c r="AN49" s="189"/>
      <c r="AO49" s="193"/>
      <c r="AP49" s="189"/>
      <c r="AQ49" s="189"/>
      <c r="AR49" s="194"/>
    </row>
    <row r="50" spans="1:57" ht="14.4" thickBot="1" x14ac:dyDescent="0.3">
      <c r="A50" s="195" t="s">
        <v>73</v>
      </c>
      <c r="B50" s="196"/>
      <c r="C50" s="196"/>
      <c r="D50" s="196"/>
      <c r="E50" s="196"/>
      <c r="F50" s="196"/>
      <c r="G50" s="196"/>
      <c r="H50" s="197" t="s">
        <v>74</v>
      </c>
      <c r="I50" s="196"/>
      <c r="J50" s="196"/>
      <c r="K50" s="196"/>
      <c r="L50" s="196"/>
      <c r="M50" s="196"/>
      <c r="N50" s="196"/>
      <c r="O50" s="198"/>
      <c r="P50" s="199" t="s">
        <v>73</v>
      </c>
      <c r="Q50" s="196"/>
      <c r="R50" s="196"/>
      <c r="S50" s="196"/>
      <c r="T50" s="196"/>
      <c r="U50" s="196"/>
      <c r="V50" s="196"/>
      <c r="W50" s="197" t="s">
        <v>75</v>
      </c>
      <c r="X50" s="196"/>
      <c r="Y50" s="196"/>
      <c r="Z50" s="196"/>
      <c r="AA50" s="196"/>
      <c r="AB50" s="198"/>
      <c r="AC50" s="196"/>
      <c r="AD50" s="200"/>
      <c r="AE50" s="201" t="s">
        <v>25</v>
      </c>
      <c r="AF50" s="202"/>
      <c r="AG50" s="202"/>
      <c r="AH50" s="202"/>
      <c r="AI50" s="202"/>
      <c r="AJ50" s="203"/>
      <c r="AK50" s="203"/>
      <c r="AL50" s="203"/>
      <c r="AM50" s="203"/>
      <c r="AN50" s="203"/>
      <c r="AO50" s="202"/>
      <c r="AP50" s="203"/>
      <c r="AQ50" s="203"/>
      <c r="AR50" s="204"/>
    </row>
    <row r="52" spans="1:57" hidden="1" x14ac:dyDescent="0.3">
      <c r="AO52" s="40">
        <f>IF(AO13="","",MAX(AO13:AO46))</f>
        <v>1</v>
      </c>
      <c r="AR52" s="40">
        <f>IF(AR13="","",MAX(AR13:AR46))</f>
        <v>1</v>
      </c>
      <c r="AS52" s="38" t="str">
        <f>IF(AO13="","0","1")</f>
        <v>1</v>
      </c>
      <c r="BE52" s="38" t="str">
        <f>IF(AS52="0","WIT/BLAUW",IF(AO52&gt;AR52,"WIT",IF(AO52=AR52,"GELIJK","BLAUW")))</f>
        <v>GELIJK</v>
      </c>
    </row>
  </sheetData>
  <sheetProtection sheet="1" objects="1" scenarios="1"/>
  <mergeCells count="107">
    <mergeCell ref="B18:C18"/>
    <mergeCell ref="B19:C19"/>
    <mergeCell ref="B20:C20"/>
    <mergeCell ref="B21:C21"/>
    <mergeCell ref="B22:C22"/>
    <mergeCell ref="AL47:AR47"/>
    <mergeCell ref="BF4:BI6"/>
    <mergeCell ref="I40:J40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3:C23"/>
    <mergeCell ref="I24:J24"/>
    <mergeCell ref="F25:Y28"/>
    <mergeCell ref="A26:D28"/>
    <mergeCell ref="AL27:AM27"/>
    <mergeCell ref="AL28:AM28"/>
    <mergeCell ref="B17:C17"/>
    <mergeCell ref="K4:M4"/>
    <mergeCell ref="AH6:AR6"/>
    <mergeCell ref="F10:Y12"/>
    <mergeCell ref="Z10:AD12"/>
    <mergeCell ref="AJ10:AK12"/>
    <mergeCell ref="AL10:AM12"/>
    <mergeCell ref="AN10:AR11"/>
    <mergeCell ref="AN12:AO12"/>
    <mergeCell ref="AQ12:AR12"/>
    <mergeCell ref="AL17:AM17"/>
    <mergeCell ref="AJ17:AK17"/>
    <mergeCell ref="D3:N3"/>
    <mergeCell ref="AL13:AM13"/>
    <mergeCell ref="AL14:AM14"/>
    <mergeCell ref="AL15:AM15"/>
    <mergeCell ref="AL16:AM16"/>
    <mergeCell ref="D4:E4"/>
    <mergeCell ref="G4:I4"/>
    <mergeCell ref="A11:D12"/>
    <mergeCell ref="B14:C14"/>
    <mergeCell ref="B15:C15"/>
    <mergeCell ref="B16:C16"/>
    <mergeCell ref="AJ13:AK13"/>
    <mergeCell ref="AJ14:AK14"/>
    <mergeCell ref="AJ15:AK15"/>
    <mergeCell ref="AJ16:AK16"/>
    <mergeCell ref="AL29:AM29"/>
    <mergeCell ref="AL30:AM30"/>
    <mergeCell ref="AL31:AM31"/>
    <mergeCell ref="AL32:AM32"/>
    <mergeCell ref="AL33:AM33"/>
    <mergeCell ref="AL18:AM18"/>
    <mergeCell ref="AL19:AM19"/>
    <mergeCell ref="AL20:AM20"/>
    <mergeCell ref="AL21:AM21"/>
    <mergeCell ref="AL22:AM22"/>
    <mergeCell ref="AL23:AM23"/>
    <mergeCell ref="AL24:AM24"/>
    <mergeCell ref="AL25:AM25"/>
    <mergeCell ref="AL26:AM26"/>
    <mergeCell ref="AL44:AM44"/>
    <mergeCell ref="AL45:AM45"/>
    <mergeCell ref="AL46:AM46"/>
    <mergeCell ref="AL39:AM39"/>
    <mergeCell ref="AL40:AM40"/>
    <mergeCell ref="AL41:AM41"/>
    <mergeCell ref="AL42:AM42"/>
    <mergeCell ref="AL43:AM43"/>
    <mergeCell ref="AL34:AM34"/>
    <mergeCell ref="AL35:AM35"/>
    <mergeCell ref="AL36:AM36"/>
    <mergeCell ref="AL37:AM37"/>
    <mergeCell ref="AL38:AM38"/>
    <mergeCell ref="AJ29:AK29"/>
    <mergeCell ref="AJ30:AK30"/>
    <mergeCell ref="AJ31:AK31"/>
    <mergeCell ref="AJ32:AK32"/>
    <mergeCell ref="AJ33:AK33"/>
    <mergeCell ref="AJ18:AK18"/>
    <mergeCell ref="AJ19:AK19"/>
    <mergeCell ref="AJ20:AK20"/>
    <mergeCell ref="AJ21:AK21"/>
    <mergeCell ref="AJ22:AK22"/>
    <mergeCell ref="AJ24:AK24"/>
    <mergeCell ref="AJ25:AK25"/>
    <mergeCell ref="AJ26:AK26"/>
    <mergeCell ref="AJ27:AK27"/>
    <mergeCell ref="AJ28:AK28"/>
    <mergeCell ref="AJ23:AK23"/>
    <mergeCell ref="AJ44:AK44"/>
    <mergeCell ref="AJ45:AK45"/>
    <mergeCell ref="AJ46:AK46"/>
    <mergeCell ref="AJ39:AK39"/>
    <mergeCell ref="AJ40:AK40"/>
    <mergeCell ref="AJ41:AK41"/>
    <mergeCell ref="AJ42:AK42"/>
    <mergeCell ref="AJ43:AK43"/>
    <mergeCell ref="AJ34:AK34"/>
    <mergeCell ref="AJ35:AK35"/>
    <mergeCell ref="AJ36:AK36"/>
    <mergeCell ref="AJ37:AK37"/>
    <mergeCell ref="AJ38:AK38"/>
  </mergeCells>
  <dataValidations count="1">
    <dataValidation type="list" allowBlank="1" showInputMessage="1" showErrorMessage="1" sqref="AL47:AR47" xr:uid="{CFCF21CF-AB4F-4C23-8563-8A5500F5ED31}">
      <formula1>"JA/NEE,JA,NEE"</formula1>
    </dataValidation>
  </dataValidations>
  <hyperlinks>
    <hyperlink ref="BF4:BI6" location="Wedstrijden!A1" display="Wedstrijdschema" xr:uid="{AA73C4CA-EAB6-4D77-8B51-6884E5EF0BB0}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IV52"/>
  <sheetViews>
    <sheetView workbookViewId="0">
      <selection activeCell="BF4" sqref="BF4:BI6"/>
    </sheetView>
  </sheetViews>
  <sheetFormatPr defaultRowHeight="13.8" x14ac:dyDescent="0.3"/>
  <cols>
    <col min="1" max="6" width="2.33203125" style="38" customWidth="1"/>
    <col min="7" max="7" width="3.33203125" style="38" customWidth="1"/>
    <col min="8" max="8" width="2.33203125" style="38" customWidth="1"/>
    <col min="9" max="9" width="3.33203125" style="38" customWidth="1"/>
    <col min="10" max="25" width="2.33203125" style="38" customWidth="1"/>
    <col min="26" max="28" width="2.109375" style="38" customWidth="1"/>
    <col min="29" max="29" width="3" style="38" customWidth="1"/>
    <col min="30" max="30" width="2.109375" style="39" customWidth="1"/>
    <col min="31" max="35" width="2.33203125" style="40" customWidth="1"/>
    <col min="36" max="39" width="2.33203125" style="38" customWidth="1"/>
    <col min="40" max="40" width="2.109375" style="38" customWidth="1"/>
    <col min="41" max="41" width="3.33203125" style="40" customWidth="1"/>
    <col min="42" max="43" width="2.109375" style="38" customWidth="1"/>
    <col min="44" max="44" width="3.33203125" style="40" customWidth="1"/>
    <col min="45" max="45" width="9.109375" style="38"/>
    <col min="46" max="56" width="9.109375" style="38" hidden="1" customWidth="1"/>
    <col min="57" max="62" width="9.109375" style="38"/>
    <col min="63" max="69" width="0" style="38" hidden="1" customWidth="1"/>
    <col min="70" max="256" width="9.109375" style="38"/>
    <col min="257" max="281" width="2.33203125" style="38" customWidth="1"/>
    <col min="282" max="286" width="2.109375" style="38" customWidth="1"/>
    <col min="287" max="295" width="2.33203125" style="38" customWidth="1"/>
    <col min="296" max="300" width="2.109375" style="38" customWidth="1"/>
    <col min="301" max="512" width="9.109375" style="38"/>
    <col min="513" max="537" width="2.33203125" style="38" customWidth="1"/>
    <col min="538" max="542" width="2.109375" style="38" customWidth="1"/>
    <col min="543" max="551" width="2.33203125" style="38" customWidth="1"/>
    <col min="552" max="556" width="2.109375" style="38" customWidth="1"/>
    <col min="557" max="768" width="9.109375" style="38"/>
    <col min="769" max="793" width="2.33203125" style="38" customWidth="1"/>
    <col min="794" max="798" width="2.109375" style="38" customWidth="1"/>
    <col min="799" max="807" width="2.33203125" style="38" customWidth="1"/>
    <col min="808" max="812" width="2.109375" style="38" customWidth="1"/>
    <col min="813" max="1024" width="9.109375" style="38"/>
    <col min="1025" max="1049" width="2.33203125" style="38" customWidth="1"/>
    <col min="1050" max="1054" width="2.109375" style="38" customWidth="1"/>
    <col min="1055" max="1063" width="2.33203125" style="38" customWidth="1"/>
    <col min="1064" max="1068" width="2.109375" style="38" customWidth="1"/>
    <col min="1069" max="1280" width="9.109375" style="38"/>
    <col min="1281" max="1305" width="2.33203125" style="38" customWidth="1"/>
    <col min="1306" max="1310" width="2.109375" style="38" customWidth="1"/>
    <col min="1311" max="1319" width="2.33203125" style="38" customWidth="1"/>
    <col min="1320" max="1324" width="2.109375" style="38" customWidth="1"/>
    <col min="1325" max="1536" width="9.109375" style="38"/>
    <col min="1537" max="1561" width="2.33203125" style="38" customWidth="1"/>
    <col min="1562" max="1566" width="2.109375" style="38" customWidth="1"/>
    <col min="1567" max="1575" width="2.33203125" style="38" customWidth="1"/>
    <col min="1576" max="1580" width="2.109375" style="38" customWidth="1"/>
    <col min="1581" max="1792" width="9.109375" style="38"/>
    <col min="1793" max="1817" width="2.33203125" style="38" customWidth="1"/>
    <col min="1818" max="1822" width="2.109375" style="38" customWidth="1"/>
    <col min="1823" max="1831" width="2.33203125" style="38" customWidth="1"/>
    <col min="1832" max="1836" width="2.109375" style="38" customWidth="1"/>
    <col min="1837" max="2048" width="9.109375" style="38"/>
    <col min="2049" max="2073" width="2.33203125" style="38" customWidth="1"/>
    <col min="2074" max="2078" width="2.109375" style="38" customWidth="1"/>
    <col min="2079" max="2087" width="2.33203125" style="38" customWidth="1"/>
    <col min="2088" max="2092" width="2.109375" style="38" customWidth="1"/>
    <col min="2093" max="2304" width="9.109375" style="38"/>
    <col min="2305" max="2329" width="2.33203125" style="38" customWidth="1"/>
    <col min="2330" max="2334" width="2.109375" style="38" customWidth="1"/>
    <col min="2335" max="2343" width="2.33203125" style="38" customWidth="1"/>
    <col min="2344" max="2348" width="2.109375" style="38" customWidth="1"/>
    <col min="2349" max="2560" width="9.109375" style="38"/>
    <col min="2561" max="2585" width="2.33203125" style="38" customWidth="1"/>
    <col min="2586" max="2590" width="2.109375" style="38" customWidth="1"/>
    <col min="2591" max="2599" width="2.33203125" style="38" customWidth="1"/>
    <col min="2600" max="2604" width="2.109375" style="38" customWidth="1"/>
    <col min="2605" max="2816" width="9.109375" style="38"/>
    <col min="2817" max="2841" width="2.33203125" style="38" customWidth="1"/>
    <col min="2842" max="2846" width="2.109375" style="38" customWidth="1"/>
    <col min="2847" max="2855" width="2.33203125" style="38" customWidth="1"/>
    <col min="2856" max="2860" width="2.109375" style="38" customWidth="1"/>
    <col min="2861" max="3072" width="9.109375" style="38"/>
    <col min="3073" max="3097" width="2.33203125" style="38" customWidth="1"/>
    <col min="3098" max="3102" width="2.109375" style="38" customWidth="1"/>
    <col min="3103" max="3111" width="2.33203125" style="38" customWidth="1"/>
    <col min="3112" max="3116" width="2.109375" style="38" customWidth="1"/>
    <col min="3117" max="3328" width="9.109375" style="38"/>
    <col min="3329" max="3353" width="2.33203125" style="38" customWidth="1"/>
    <col min="3354" max="3358" width="2.109375" style="38" customWidth="1"/>
    <col min="3359" max="3367" width="2.33203125" style="38" customWidth="1"/>
    <col min="3368" max="3372" width="2.109375" style="38" customWidth="1"/>
    <col min="3373" max="3584" width="9.109375" style="38"/>
    <col min="3585" max="3609" width="2.33203125" style="38" customWidth="1"/>
    <col min="3610" max="3614" width="2.109375" style="38" customWidth="1"/>
    <col min="3615" max="3623" width="2.33203125" style="38" customWidth="1"/>
    <col min="3624" max="3628" width="2.109375" style="38" customWidth="1"/>
    <col min="3629" max="3840" width="9.109375" style="38"/>
    <col min="3841" max="3865" width="2.33203125" style="38" customWidth="1"/>
    <col min="3866" max="3870" width="2.109375" style="38" customWidth="1"/>
    <col min="3871" max="3879" width="2.33203125" style="38" customWidth="1"/>
    <col min="3880" max="3884" width="2.109375" style="38" customWidth="1"/>
    <col min="3885" max="4096" width="9.109375" style="38"/>
    <col min="4097" max="4121" width="2.33203125" style="38" customWidth="1"/>
    <col min="4122" max="4126" width="2.109375" style="38" customWidth="1"/>
    <col min="4127" max="4135" width="2.33203125" style="38" customWidth="1"/>
    <col min="4136" max="4140" width="2.109375" style="38" customWidth="1"/>
    <col min="4141" max="4352" width="9.109375" style="38"/>
    <col min="4353" max="4377" width="2.33203125" style="38" customWidth="1"/>
    <col min="4378" max="4382" width="2.109375" style="38" customWidth="1"/>
    <col min="4383" max="4391" width="2.33203125" style="38" customWidth="1"/>
    <col min="4392" max="4396" width="2.109375" style="38" customWidth="1"/>
    <col min="4397" max="4608" width="9.109375" style="38"/>
    <col min="4609" max="4633" width="2.33203125" style="38" customWidth="1"/>
    <col min="4634" max="4638" width="2.109375" style="38" customWidth="1"/>
    <col min="4639" max="4647" width="2.33203125" style="38" customWidth="1"/>
    <col min="4648" max="4652" width="2.109375" style="38" customWidth="1"/>
    <col min="4653" max="4864" width="9.109375" style="38"/>
    <col min="4865" max="4889" width="2.33203125" style="38" customWidth="1"/>
    <col min="4890" max="4894" width="2.109375" style="38" customWidth="1"/>
    <col min="4895" max="4903" width="2.33203125" style="38" customWidth="1"/>
    <col min="4904" max="4908" width="2.109375" style="38" customWidth="1"/>
    <col min="4909" max="5120" width="9.109375" style="38"/>
    <col min="5121" max="5145" width="2.33203125" style="38" customWidth="1"/>
    <col min="5146" max="5150" width="2.109375" style="38" customWidth="1"/>
    <col min="5151" max="5159" width="2.33203125" style="38" customWidth="1"/>
    <col min="5160" max="5164" width="2.109375" style="38" customWidth="1"/>
    <col min="5165" max="5376" width="9.109375" style="38"/>
    <col min="5377" max="5401" width="2.33203125" style="38" customWidth="1"/>
    <col min="5402" max="5406" width="2.109375" style="38" customWidth="1"/>
    <col min="5407" max="5415" width="2.33203125" style="38" customWidth="1"/>
    <col min="5416" max="5420" width="2.109375" style="38" customWidth="1"/>
    <col min="5421" max="5632" width="9.109375" style="38"/>
    <col min="5633" max="5657" width="2.33203125" style="38" customWidth="1"/>
    <col min="5658" max="5662" width="2.109375" style="38" customWidth="1"/>
    <col min="5663" max="5671" width="2.33203125" style="38" customWidth="1"/>
    <col min="5672" max="5676" width="2.109375" style="38" customWidth="1"/>
    <col min="5677" max="5888" width="9.109375" style="38"/>
    <col min="5889" max="5913" width="2.33203125" style="38" customWidth="1"/>
    <col min="5914" max="5918" width="2.109375" style="38" customWidth="1"/>
    <col min="5919" max="5927" width="2.33203125" style="38" customWidth="1"/>
    <col min="5928" max="5932" width="2.109375" style="38" customWidth="1"/>
    <col min="5933" max="6144" width="9.109375" style="38"/>
    <col min="6145" max="6169" width="2.33203125" style="38" customWidth="1"/>
    <col min="6170" max="6174" width="2.109375" style="38" customWidth="1"/>
    <col min="6175" max="6183" width="2.33203125" style="38" customWidth="1"/>
    <col min="6184" max="6188" width="2.109375" style="38" customWidth="1"/>
    <col min="6189" max="6400" width="9.109375" style="38"/>
    <col min="6401" max="6425" width="2.33203125" style="38" customWidth="1"/>
    <col min="6426" max="6430" width="2.109375" style="38" customWidth="1"/>
    <col min="6431" max="6439" width="2.33203125" style="38" customWidth="1"/>
    <col min="6440" max="6444" width="2.109375" style="38" customWidth="1"/>
    <col min="6445" max="6656" width="9.109375" style="38"/>
    <col min="6657" max="6681" width="2.33203125" style="38" customWidth="1"/>
    <col min="6682" max="6686" width="2.109375" style="38" customWidth="1"/>
    <col min="6687" max="6695" width="2.33203125" style="38" customWidth="1"/>
    <col min="6696" max="6700" width="2.109375" style="38" customWidth="1"/>
    <col min="6701" max="6912" width="9.109375" style="38"/>
    <col min="6913" max="6937" width="2.33203125" style="38" customWidth="1"/>
    <col min="6938" max="6942" width="2.109375" style="38" customWidth="1"/>
    <col min="6943" max="6951" width="2.33203125" style="38" customWidth="1"/>
    <col min="6952" max="6956" width="2.109375" style="38" customWidth="1"/>
    <col min="6957" max="7168" width="9.109375" style="38"/>
    <col min="7169" max="7193" width="2.33203125" style="38" customWidth="1"/>
    <col min="7194" max="7198" width="2.109375" style="38" customWidth="1"/>
    <col min="7199" max="7207" width="2.33203125" style="38" customWidth="1"/>
    <col min="7208" max="7212" width="2.109375" style="38" customWidth="1"/>
    <col min="7213" max="7424" width="9.109375" style="38"/>
    <col min="7425" max="7449" width="2.33203125" style="38" customWidth="1"/>
    <col min="7450" max="7454" width="2.109375" style="38" customWidth="1"/>
    <col min="7455" max="7463" width="2.33203125" style="38" customWidth="1"/>
    <col min="7464" max="7468" width="2.109375" style="38" customWidth="1"/>
    <col min="7469" max="7680" width="9.109375" style="38"/>
    <col min="7681" max="7705" width="2.33203125" style="38" customWidth="1"/>
    <col min="7706" max="7710" width="2.109375" style="38" customWidth="1"/>
    <col min="7711" max="7719" width="2.33203125" style="38" customWidth="1"/>
    <col min="7720" max="7724" width="2.109375" style="38" customWidth="1"/>
    <col min="7725" max="7936" width="9.109375" style="38"/>
    <col min="7937" max="7961" width="2.33203125" style="38" customWidth="1"/>
    <col min="7962" max="7966" width="2.109375" style="38" customWidth="1"/>
    <col min="7967" max="7975" width="2.33203125" style="38" customWidth="1"/>
    <col min="7976" max="7980" width="2.109375" style="38" customWidth="1"/>
    <col min="7981" max="8192" width="9.109375" style="38"/>
    <col min="8193" max="8217" width="2.33203125" style="38" customWidth="1"/>
    <col min="8218" max="8222" width="2.109375" style="38" customWidth="1"/>
    <col min="8223" max="8231" width="2.33203125" style="38" customWidth="1"/>
    <col min="8232" max="8236" width="2.109375" style="38" customWidth="1"/>
    <col min="8237" max="8448" width="9.109375" style="38"/>
    <col min="8449" max="8473" width="2.33203125" style="38" customWidth="1"/>
    <col min="8474" max="8478" width="2.109375" style="38" customWidth="1"/>
    <col min="8479" max="8487" width="2.33203125" style="38" customWidth="1"/>
    <col min="8488" max="8492" width="2.109375" style="38" customWidth="1"/>
    <col min="8493" max="8704" width="9.109375" style="38"/>
    <col min="8705" max="8729" width="2.33203125" style="38" customWidth="1"/>
    <col min="8730" max="8734" width="2.109375" style="38" customWidth="1"/>
    <col min="8735" max="8743" width="2.33203125" style="38" customWidth="1"/>
    <col min="8744" max="8748" width="2.109375" style="38" customWidth="1"/>
    <col min="8749" max="8960" width="9.109375" style="38"/>
    <col min="8961" max="8985" width="2.33203125" style="38" customWidth="1"/>
    <col min="8986" max="8990" width="2.109375" style="38" customWidth="1"/>
    <col min="8991" max="8999" width="2.33203125" style="38" customWidth="1"/>
    <col min="9000" max="9004" width="2.109375" style="38" customWidth="1"/>
    <col min="9005" max="9216" width="9.109375" style="38"/>
    <col min="9217" max="9241" width="2.33203125" style="38" customWidth="1"/>
    <col min="9242" max="9246" width="2.109375" style="38" customWidth="1"/>
    <col min="9247" max="9255" width="2.33203125" style="38" customWidth="1"/>
    <col min="9256" max="9260" width="2.109375" style="38" customWidth="1"/>
    <col min="9261" max="9472" width="9.109375" style="38"/>
    <col min="9473" max="9497" width="2.33203125" style="38" customWidth="1"/>
    <col min="9498" max="9502" width="2.109375" style="38" customWidth="1"/>
    <col min="9503" max="9511" width="2.33203125" style="38" customWidth="1"/>
    <col min="9512" max="9516" width="2.109375" style="38" customWidth="1"/>
    <col min="9517" max="9728" width="9.109375" style="38"/>
    <col min="9729" max="9753" width="2.33203125" style="38" customWidth="1"/>
    <col min="9754" max="9758" width="2.109375" style="38" customWidth="1"/>
    <col min="9759" max="9767" width="2.33203125" style="38" customWidth="1"/>
    <col min="9768" max="9772" width="2.109375" style="38" customWidth="1"/>
    <col min="9773" max="9984" width="9.109375" style="38"/>
    <col min="9985" max="10009" width="2.33203125" style="38" customWidth="1"/>
    <col min="10010" max="10014" width="2.109375" style="38" customWidth="1"/>
    <col min="10015" max="10023" width="2.33203125" style="38" customWidth="1"/>
    <col min="10024" max="10028" width="2.109375" style="38" customWidth="1"/>
    <col min="10029" max="10240" width="9.109375" style="38"/>
    <col min="10241" max="10265" width="2.33203125" style="38" customWidth="1"/>
    <col min="10266" max="10270" width="2.109375" style="38" customWidth="1"/>
    <col min="10271" max="10279" width="2.33203125" style="38" customWidth="1"/>
    <col min="10280" max="10284" width="2.109375" style="38" customWidth="1"/>
    <col min="10285" max="10496" width="9.109375" style="38"/>
    <col min="10497" max="10521" width="2.33203125" style="38" customWidth="1"/>
    <col min="10522" max="10526" width="2.109375" style="38" customWidth="1"/>
    <col min="10527" max="10535" width="2.33203125" style="38" customWidth="1"/>
    <col min="10536" max="10540" width="2.109375" style="38" customWidth="1"/>
    <col min="10541" max="10752" width="9.109375" style="38"/>
    <col min="10753" max="10777" width="2.33203125" style="38" customWidth="1"/>
    <col min="10778" max="10782" width="2.109375" style="38" customWidth="1"/>
    <col min="10783" max="10791" width="2.33203125" style="38" customWidth="1"/>
    <col min="10792" max="10796" width="2.109375" style="38" customWidth="1"/>
    <col min="10797" max="11008" width="9.109375" style="38"/>
    <col min="11009" max="11033" width="2.33203125" style="38" customWidth="1"/>
    <col min="11034" max="11038" width="2.109375" style="38" customWidth="1"/>
    <col min="11039" max="11047" width="2.33203125" style="38" customWidth="1"/>
    <col min="11048" max="11052" width="2.109375" style="38" customWidth="1"/>
    <col min="11053" max="11264" width="9.109375" style="38"/>
    <col min="11265" max="11289" width="2.33203125" style="38" customWidth="1"/>
    <col min="11290" max="11294" width="2.109375" style="38" customWidth="1"/>
    <col min="11295" max="11303" width="2.33203125" style="38" customWidth="1"/>
    <col min="11304" max="11308" width="2.109375" style="38" customWidth="1"/>
    <col min="11309" max="11520" width="9.109375" style="38"/>
    <col min="11521" max="11545" width="2.33203125" style="38" customWidth="1"/>
    <col min="11546" max="11550" width="2.109375" style="38" customWidth="1"/>
    <col min="11551" max="11559" width="2.33203125" style="38" customWidth="1"/>
    <col min="11560" max="11564" width="2.109375" style="38" customWidth="1"/>
    <col min="11565" max="11776" width="9.109375" style="38"/>
    <col min="11777" max="11801" width="2.33203125" style="38" customWidth="1"/>
    <col min="11802" max="11806" width="2.109375" style="38" customWidth="1"/>
    <col min="11807" max="11815" width="2.33203125" style="38" customWidth="1"/>
    <col min="11816" max="11820" width="2.109375" style="38" customWidth="1"/>
    <col min="11821" max="12032" width="9.109375" style="38"/>
    <col min="12033" max="12057" width="2.33203125" style="38" customWidth="1"/>
    <col min="12058" max="12062" width="2.109375" style="38" customWidth="1"/>
    <col min="12063" max="12071" width="2.33203125" style="38" customWidth="1"/>
    <col min="12072" max="12076" width="2.109375" style="38" customWidth="1"/>
    <col min="12077" max="12288" width="9.109375" style="38"/>
    <col min="12289" max="12313" width="2.33203125" style="38" customWidth="1"/>
    <col min="12314" max="12318" width="2.109375" style="38" customWidth="1"/>
    <col min="12319" max="12327" width="2.33203125" style="38" customWidth="1"/>
    <col min="12328" max="12332" width="2.109375" style="38" customWidth="1"/>
    <col min="12333" max="12544" width="9.109375" style="38"/>
    <col min="12545" max="12569" width="2.33203125" style="38" customWidth="1"/>
    <col min="12570" max="12574" width="2.109375" style="38" customWidth="1"/>
    <col min="12575" max="12583" width="2.33203125" style="38" customWidth="1"/>
    <col min="12584" max="12588" width="2.109375" style="38" customWidth="1"/>
    <col min="12589" max="12800" width="9.109375" style="38"/>
    <col min="12801" max="12825" width="2.33203125" style="38" customWidth="1"/>
    <col min="12826" max="12830" width="2.109375" style="38" customWidth="1"/>
    <col min="12831" max="12839" width="2.33203125" style="38" customWidth="1"/>
    <col min="12840" max="12844" width="2.109375" style="38" customWidth="1"/>
    <col min="12845" max="13056" width="9.109375" style="38"/>
    <col min="13057" max="13081" width="2.33203125" style="38" customWidth="1"/>
    <col min="13082" max="13086" width="2.109375" style="38" customWidth="1"/>
    <col min="13087" max="13095" width="2.33203125" style="38" customWidth="1"/>
    <col min="13096" max="13100" width="2.109375" style="38" customWidth="1"/>
    <col min="13101" max="13312" width="9.109375" style="38"/>
    <col min="13313" max="13337" width="2.33203125" style="38" customWidth="1"/>
    <col min="13338" max="13342" width="2.109375" style="38" customWidth="1"/>
    <col min="13343" max="13351" width="2.33203125" style="38" customWidth="1"/>
    <col min="13352" max="13356" width="2.109375" style="38" customWidth="1"/>
    <col min="13357" max="13568" width="9.109375" style="38"/>
    <col min="13569" max="13593" width="2.33203125" style="38" customWidth="1"/>
    <col min="13594" max="13598" width="2.109375" style="38" customWidth="1"/>
    <col min="13599" max="13607" width="2.33203125" style="38" customWidth="1"/>
    <col min="13608" max="13612" width="2.109375" style="38" customWidth="1"/>
    <col min="13613" max="13824" width="9.109375" style="38"/>
    <col min="13825" max="13849" width="2.33203125" style="38" customWidth="1"/>
    <col min="13850" max="13854" width="2.109375" style="38" customWidth="1"/>
    <col min="13855" max="13863" width="2.33203125" style="38" customWidth="1"/>
    <col min="13864" max="13868" width="2.109375" style="38" customWidth="1"/>
    <col min="13869" max="14080" width="9.109375" style="38"/>
    <col min="14081" max="14105" width="2.33203125" style="38" customWidth="1"/>
    <col min="14106" max="14110" width="2.109375" style="38" customWidth="1"/>
    <col min="14111" max="14119" width="2.33203125" style="38" customWidth="1"/>
    <col min="14120" max="14124" width="2.109375" style="38" customWidth="1"/>
    <col min="14125" max="14336" width="9.109375" style="38"/>
    <col min="14337" max="14361" width="2.33203125" style="38" customWidth="1"/>
    <col min="14362" max="14366" width="2.109375" style="38" customWidth="1"/>
    <col min="14367" max="14375" width="2.33203125" style="38" customWidth="1"/>
    <col min="14376" max="14380" width="2.109375" style="38" customWidth="1"/>
    <col min="14381" max="14592" width="9.109375" style="38"/>
    <col min="14593" max="14617" width="2.33203125" style="38" customWidth="1"/>
    <col min="14618" max="14622" width="2.109375" style="38" customWidth="1"/>
    <col min="14623" max="14631" width="2.33203125" style="38" customWidth="1"/>
    <col min="14632" max="14636" width="2.109375" style="38" customWidth="1"/>
    <col min="14637" max="14848" width="9.109375" style="38"/>
    <col min="14849" max="14873" width="2.33203125" style="38" customWidth="1"/>
    <col min="14874" max="14878" width="2.109375" style="38" customWidth="1"/>
    <col min="14879" max="14887" width="2.33203125" style="38" customWidth="1"/>
    <col min="14888" max="14892" width="2.109375" style="38" customWidth="1"/>
    <col min="14893" max="15104" width="9.109375" style="38"/>
    <col min="15105" max="15129" width="2.33203125" style="38" customWidth="1"/>
    <col min="15130" max="15134" width="2.109375" style="38" customWidth="1"/>
    <col min="15135" max="15143" width="2.33203125" style="38" customWidth="1"/>
    <col min="15144" max="15148" width="2.109375" style="38" customWidth="1"/>
    <col min="15149" max="15360" width="9.109375" style="38"/>
    <col min="15361" max="15385" width="2.33203125" style="38" customWidth="1"/>
    <col min="15386" max="15390" width="2.109375" style="38" customWidth="1"/>
    <col min="15391" max="15399" width="2.33203125" style="38" customWidth="1"/>
    <col min="15400" max="15404" width="2.109375" style="38" customWidth="1"/>
    <col min="15405" max="15616" width="9.109375" style="38"/>
    <col min="15617" max="15641" width="2.33203125" style="38" customWidth="1"/>
    <col min="15642" max="15646" width="2.109375" style="38" customWidth="1"/>
    <col min="15647" max="15655" width="2.33203125" style="38" customWidth="1"/>
    <col min="15656" max="15660" width="2.109375" style="38" customWidth="1"/>
    <col min="15661" max="15872" width="9.109375" style="38"/>
    <col min="15873" max="15897" width="2.33203125" style="38" customWidth="1"/>
    <col min="15898" max="15902" width="2.109375" style="38" customWidth="1"/>
    <col min="15903" max="15911" width="2.33203125" style="38" customWidth="1"/>
    <col min="15912" max="15916" width="2.109375" style="38" customWidth="1"/>
    <col min="15917" max="16128" width="9.109375" style="38"/>
    <col min="16129" max="16153" width="2.33203125" style="38" customWidth="1"/>
    <col min="16154" max="16158" width="2.109375" style="38" customWidth="1"/>
    <col min="16159" max="16167" width="2.33203125" style="38" customWidth="1"/>
    <col min="16168" max="16172" width="2.109375" style="38" customWidth="1"/>
    <col min="16173" max="16384" width="9.109375" style="38"/>
  </cols>
  <sheetData>
    <row r="1" spans="1:256" ht="20.399999999999999" x14ac:dyDescent="0.3">
      <c r="A1" s="37" t="s">
        <v>40</v>
      </c>
      <c r="AO1" s="41">
        <v>0</v>
      </c>
      <c r="AP1" s="42"/>
      <c r="AQ1" s="42"/>
      <c r="AR1" s="41">
        <v>0</v>
      </c>
      <c r="AV1" s="43">
        <v>1.3888888888888888E-2</v>
      </c>
    </row>
    <row r="2" spans="1:256" x14ac:dyDescent="0.3">
      <c r="A2" s="38" t="s">
        <v>42</v>
      </c>
      <c r="E2" s="38" t="s">
        <v>76</v>
      </c>
      <c r="P2" s="44" t="s">
        <v>22</v>
      </c>
      <c r="Q2" s="45"/>
      <c r="R2" s="45"/>
      <c r="S2" s="45"/>
      <c r="T2" s="45"/>
      <c r="U2" s="45"/>
      <c r="V2" s="45"/>
      <c r="W2" s="45" t="s">
        <v>3</v>
      </c>
      <c r="X2" s="45"/>
      <c r="Y2" s="46" t="s">
        <v>41</v>
      </c>
      <c r="Z2" s="45"/>
      <c r="AA2" s="45"/>
      <c r="AB2" s="45"/>
      <c r="AC2" s="45"/>
      <c r="AD2" s="47"/>
      <c r="AE2" s="48"/>
      <c r="AF2" s="48"/>
      <c r="AG2" s="49"/>
    </row>
    <row r="3" spans="1:256" ht="15" thickBot="1" x14ac:dyDescent="0.35">
      <c r="A3" s="38" t="s">
        <v>19</v>
      </c>
      <c r="D3" s="415">
        <f>Wedstrijden!I2</f>
        <v>45732</v>
      </c>
      <c r="E3" s="416"/>
      <c r="F3" s="416"/>
      <c r="G3" s="416"/>
      <c r="H3" s="416"/>
      <c r="I3" s="416"/>
      <c r="J3" s="416"/>
      <c r="K3" s="416"/>
      <c r="L3" s="416"/>
      <c r="M3" s="416"/>
      <c r="N3" s="417"/>
      <c r="P3" s="50" t="s">
        <v>18</v>
      </c>
      <c r="Q3" s="51" t="s">
        <v>43</v>
      </c>
      <c r="W3" s="38" t="s">
        <v>0</v>
      </c>
      <c r="Y3" s="51" t="s">
        <v>44</v>
      </c>
      <c r="AG3" s="52"/>
    </row>
    <row r="4" spans="1:256" x14ac:dyDescent="0.3">
      <c r="A4" s="38" t="s">
        <v>20</v>
      </c>
      <c r="D4" s="418">
        <v>4</v>
      </c>
      <c r="E4" s="418"/>
      <c r="F4" s="53"/>
      <c r="G4" s="419">
        <f>VLOOKUP(D4,Wedstrijden!A6:B57,2,0)</f>
        <v>0.54861111111111116</v>
      </c>
      <c r="H4" s="419"/>
      <c r="I4" s="419"/>
      <c r="J4" s="54" t="s">
        <v>16</v>
      </c>
      <c r="K4" s="419">
        <f>G4+AV1</f>
        <v>0.5625</v>
      </c>
      <c r="L4" s="419"/>
      <c r="M4" s="419"/>
      <c r="N4" s="53"/>
      <c r="P4" s="50" t="s">
        <v>17</v>
      </c>
      <c r="Q4" s="51" t="s">
        <v>45</v>
      </c>
      <c r="W4" s="38" t="s">
        <v>9</v>
      </c>
      <c r="Y4" s="51" t="s">
        <v>46</v>
      </c>
      <c r="AG4" s="52"/>
      <c r="BF4" s="406" t="s">
        <v>102</v>
      </c>
      <c r="BG4" s="407"/>
      <c r="BH4" s="407"/>
      <c r="BI4" s="408"/>
    </row>
    <row r="5" spans="1:256" x14ac:dyDescent="0.3">
      <c r="A5" s="38" t="s">
        <v>164</v>
      </c>
      <c r="D5" s="260" t="str">
        <f>VLOOKUP(D4,Wedstrijden!A6:D20,4,0)</f>
        <v>A</v>
      </c>
      <c r="P5" s="50" t="s">
        <v>10</v>
      </c>
      <c r="Q5" s="51" t="s">
        <v>47</v>
      </c>
      <c r="W5" s="38" t="s">
        <v>12</v>
      </c>
      <c r="Y5" s="51" t="s">
        <v>48</v>
      </c>
      <c r="AG5" s="52"/>
      <c r="BF5" s="409"/>
      <c r="BG5" s="410"/>
      <c r="BH5" s="410"/>
      <c r="BI5" s="411"/>
    </row>
    <row r="6" spans="1:256" ht="14.4" thickBot="1" x14ac:dyDescent="0.2">
      <c r="A6" s="38" t="s">
        <v>21</v>
      </c>
      <c r="D6" s="55" t="str">
        <f>Wedstrijden!K2</f>
        <v>Den Bosch</v>
      </c>
      <c r="P6" s="50" t="s">
        <v>11</v>
      </c>
      <c r="Q6" s="51" t="s">
        <v>49</v>
      </c>
      <c r="W6" s="38" t="s">
        <v>13</v>
      </c>
      <c r="Y6" s="51" t="s">
        <v>50</v>
      </c>
      <c r="AG6" s="52"/>
      <c r="AH6" s="354" t="s">
        <v>51</v>
      </c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BF6" s="412"/>
      <c r="BG6" s="413"/>
      <c r="BH6" s="413"/>
      <c r="BI6" s="414"/>
    </row>
    <row r="7" spans="1:256" x14ac:dyDescent="0.2">
      <c r="A7" s="56" t="s">
        <v>52</v>
      </c>
      <c r="B7" s="57"/>
      <c r="C7" s="57"/>
      <c r="D7" s="57"/>
      <c r="E7" s="58" t="s">
        <v>53</v>
      </c>
      <c r="F7" s="57"/>
      <c r="G7" s="59" t="str">
        <f>VLOOKUP(D4,Wedstrijden!A6:L57,5,0)</f>
        <v>De Tubanten 1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 t="s">
        <v>54</v>
      </c>
      <c r="X7" s="57"/>
      <c r="Y7" s="57"/>
      <c r="Z7" s="58" t="s">
        <v>55</v>
      </c>
      <c r="AA7" s="58"/>
      <c r="AB7" s="57"/>
      <c r="AC7" s="59" t="str">
        <f>VLOOKUP(D4,Wedstrijden!A6:L57,9,0)</f>
        <v>De Tubanten 2</v>
      </c>
      <c r="AD7" s="60"/>
      <c r="AE7" s="61"/>
      <c r="AF7" s="61"/>
      <c r="AG7" s="61"/>
      <c r="AH7" s="61"/>
      <c r="AI7" s="61"/>
      <c r="AJ7" s="57"/>
      <c r="AK7" s="57"/>
      <c r="AL7" s="57"/>
      <c r="AM7" s="57"/>
      <c r="AN7" s="57"/>
      <c r="AO7" s="61"/>
      <c r="AP7" s="57"/>
      <c r="AQ7" s="57"/>
      <c r="AR7" s="62"/>
    </row>
    <row r="8" spans="1:256" x14ac:dyDescent="0.3">
      <c r="A8" s="63" t="s">
        <v>56</v>
      </c>
      <c r="B8" s="64"/>
      <c r="C8" s="64"/>
      <c r="D8" s="64"/>
      <c r="E8" s="64"/>
      <c r="F8" s="64"/>
      <c r="G8" s="64"/>
      <c r="H8" s="64"/>
      <c r="I8" s="64"/>
      <c r="J8" s="65" t="str">
        <f>VLOOKUP(D4,Wedstrijden!A6:P343,13,0)</f>
        <v>Corne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 t="s">
        <v>57</v>
      </c>
      <c r="X8" s="64"/>
      <c r="Y8" s="64"/>
      <c r="Z8" s="66" t="str">
        <f>VLOOKUP(D4,Wedstrijden!A6:N170,14,0)</f>
        <v>Dolf</v>
      </c>
      <c r="AA8" s="64"/>
      <c r="AB8" s="64"/>
      <c r="AC8" s="64"/>
      <c r="AD8" s="67"/>
      <c r="AE8" s="68"/>
      <c r="AF8" s="68"/>
      <c r="AG8" s="68"/>
      <c r="AH8" s="68"/>
      <c r="AI8" s="68"/>
      <c r="AJ8" s="69" t="s">
        <v>17</v>
      </c>
      <c r="AK8" s="64"/>
      <c r="AL8" s="64"/>
      <c r="AM8" s="64"/>
      <c r="AN8" s="64"/>
      <c r="AO8" s="68"/>
      <c r="AP8" s="64"/>
      <c r="AQ8" s="64"/>
      <c r="AR8" s="70"/>
    </row>
    <row r="9" spans="1:256" ht="14.4" thickBot="1" x14ac:dyDescent="0.35">
      <c r="A9" s="71" t="s">
        <v>58</v>
      </c>
      <c r="B9" s="72"/>
      <c r="C9" s="72"/>
      <c r="D9" s="72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 t="s">
        <v>59</v>
      </c>
      <c r="X9" s="72"/>
      <c r="Y9" s="72"/>
      <c r="Z9" s="72"/>
      <c r="AA9" s="72"/>
      <c r="AB9" s="73"/>
      <c r="AC9" s="73"/>
      <c r="AD9" s="75"/>
      <c r="AE9" s="76"/>
      <c r="AF9" s="76"/>
      <c r="AG9" s="76"/>
      <c r="AH9" s="76"/>
      <c r="AI9" s="76"/>
      <c r="AJ9" s="73"/>
      <c r="AK9" s="73"/>
      <c r="AL9" s="73"/>
      <c r="AM9" s="73"/>
      <c r="AN9" s="73"/>
      <c r="AO9" s="76"/>
      <c r="AP9" s="73"/>
      <c r="AQ9" s="73"/>
      <c r="AR9" s="77"/>
    </row>
    <row r="10" spans="1:256" ht="15" x14ac:dyDescent="0.3">
      <c r="A10" s="78" t="s">
        <v>60</v>
      </c>
      <c r="B10" s="79"/>
      <c r="C10" s="79"/>
      <c r="D10" s="79"/>
      <c r="E10" s="79"/>
      <c r="F10" s="356" t="str">
        <f>+G7</f>
        <v>De Tubanten 1</v>
      </c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7"/>
      <c r="Z10" s="362" t="s">
        <v>8</v>
      </c>
      <c r="AA10" s="363"/>
      <c r="AB10" s="363"/>
      <c r="AC10" s="363"/>
      <c r="AD10" s="364"/>
      <c r="AE10" s="80"/>
      <c r="AF10" s="80"/>
      <c r="AG10" s="80"/>
      <c r="AH10" s="80" t="s">
        <v>61</v>
      </c>
      <c r="AI10" s="80" t="s">
        <v>61</v>
      </c>
      <c r="AJ10" s="371" t="s">
        <v>14</v>
      </c>
      <c r="AK10" s="372"/>
      <c r="AL10" s="377" t="s">
        <v>62</v>
      </c>
      <c r="AM10" s="378"/>
      <c r="AN10" s="383" t="s">
        <v>15</v>
      </c>
      <c r="AO10" s="384"/>
      <c r="AP10" s="384"/>
      <c r="AQ10" s="384"/>
      <c r="AR10" s="385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2" t="s">
        <v>136</v>
      </c>
      <c r="BL10" s="82" t="str">
        <f>CONCATENATE($BL$12&amp;BK10&amp;"x")</f>
        <v>swwx</v>
      </c>
      <c r="BM10" s="82" t="str">
        <f>CONCATENATE($BM$12&amp;BK10&amp;"x")</f>
        <v>dwx</v>
      </c>
      <c r="BN10" s="82" t="str">
        <f>CONCATENATE($BN$12&amp;BK10&amp;"x")</f>
        <v>pwx</v>
      </c>
      <c r="BO10" s="82" t="str">
        <f>CONCATENATE($BO$12&amp;BK10&amp;"x")</f>
        <v>umvwx</v>
      </c>
      <c r="BP10" s="82" t="str">
        <f>CONCATENATE($BP$12&amp;BK10&amp;"x")</f>
        <v>uzvwx</v>
      </c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1" spans="1:256" x14ac:dyDescent="0.3">
      <c r="A11" s="393" t="s">
        <v>7</v>
      </c>
      <c r="B11" s="394"/>
      <c r="C11" s="394"/>
      <c r="D11" s="394"/>
      <c r="E11" s="81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  <c r="Z11" s="365"/>
      <c r="AA11" s="366"/>
      <c r="AB11" s="366"/>
      <c r="AC11" s="366"/>
      <c r="AD11" s="367"/>
      <c r="AE11" s="83" t="s">
        <v>63</v>
      </c>
      <c r="AF11" s="83"/>
      <c r="AG11" s="83"/>
      <c r="AH11" s="83" t="s">
        <v>64</v>
      </c>
      <c r="AI11" s="83" t="s">
        <v>65</v>
      </c>
      <c r="AJ11" s="373"/>
      <c r="AK11" s="374"/>
      <c r="AL11" s="379"/>
      <c r="AM11" s="380"/>
      <c r="AN11" s="386"/>
      <c r="AO11" s="387"/>
      <c r="AP11" s="387"/>
      <c r="AQ11" s="387"/>
      <c r="AR11" s="388"/>
      <c r="AS11" s="81"/>
      <c r="AT11" s="81"/>
      <c r="AU11" s="81" t="s">
        <v>17</v>
      </c>
      <c r="AV11" s="81" t="s">
        <v>18</v>
      </c>
      <c r="AW11" s="81" t="s">
        <v>77</v>
      </c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2" t="s">
        <v>142</v>
      </c>
      <c r="BL11" s="82" t="str">
        <f>CONCATENATE($BL$12&amp;BK11&amp;"x")</f>
        <v>swbx</v>
      </c>
      <c r="BM11" s="82" t="str">
        <f>CONCATENATE($BM$12&amp;BK11&amp;"x")</f>
        <v>dbx</v>
      </c>
      <c r="BN11" s="82" t="str">
        <f>CONCATENATE($BN$12&amp;BK11&amp;"x")</f>
        <v>pbx</v>
      </c>
      <c r="BO11" s="82" t="str">
        <f>CONCATENATE($BO$12&amp;BK11&amp;"x")</f>
        <v>umvbx</v>
      </c>
      <c r="BP11" s="82" t="str">
        <f>CONCATENATE($BP$12&amp;BK11&amp;"x")</f>
        <v>uzvbx</v>
      </c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</row>
    <row r="12" spans="1:256" ht="18" x14ac:dyDescent="0.35">
      <c r="A12" s="395"/>
      <c r="B12" s="396"/>
      <c r="C12" s="396"/>
      <c r="D12" s="394"/>
      <c r="E12" s="81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1"/>
      <c r="Z12" s="368"/>
      <c r="AA12" s="369"/>
      <c r="AB12" s="369"/>
      <c r="AC12" s="369"/>
      <c r="AD12" s="370"/>
      <c r="AE12" s="84" t="s">
        <v>17</v>
      </c>
      <c r="AF12" s="84" t="s">
        <v>10</v>
      </c>
      <c r="AG12" s="84" t="s">
        <v>11</v>
      </c>
      <c r="AH12" s="84" t="s">
        <v>66</v>
      </c>
      <c r="AI12" s="84" t="s">
        <v>66</v>
      </c>
      <c r="AJ12" s="375"/>
      <c r="AK12" s="376"/>
      <c r="AL12" s="381"/>
      <c r="AM12" s="382"/>
      <c r="AN12" s="389" t="s">
        <v>17</v>
      </c>
      <c r="AO12" s="369"/>
      <c r="AP12" s="85"/>
      <c r="AQ12" s="369" t="s">
        <v>18</v>
      </c>
      <c r="AR12" s="390"/>
      <c r="AS12" s="81"/>
      <c r="AT12" s="81"/>
      <c r="AU12" s="81" t="s">
        <v>78</v>
      </c>
      <c r="AV12" s="81" t="s">
        <v>79</v>
      </c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 t="s">
        <v>138</v>
      </c>
      <c r="BM12" s="81" t="s">
        <v>139</v>
      </c>
      <c r="BN12" s="81" t="s">
        <v>79</v>
      </c>
      <c r="BO12" s="81" t="s">
        <v>140</v>
      </c>
      <c r="BP12" s="81" t="s">
        <v>141</v>
      </c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</row>
    <row r="13" spans="1:256" ht="15.6" x14ac:dyDescent="0.3">
      <c r="A13" s="86" t="s">
        <v>0</v>
      </c>
      <c r="B13" s="87" t="s">
        <v>1</v>
      </c>
      <c r="C13" s="88"/>
      <c r="D13" s="89"/>
      <c r="E13" s="88" t="s">
        <v>2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90"/>
      <c r="V13" s="91" t="s">
        <v>3</v>
      </c>
      <c r="W13" s="91" t="s">
        <v>4</v>
      </c>
      <c r="X13" s="91" t="s">
        <v>5</v>
      </c>
      <c r="Y13" s="92" t="s">
        <v>6</v>
      </c>
      <c r="Z13" s="93"/>
      <c r="AA13" s="94">
        <v>1</v>
      </c>
      <c r="AB13" s="95" t="s">
        <v>16</v>
      </c>
      <c r="AC13" s="94">
        <v>1</v>
      </c>
      <c r="AD13" s="96">
        <v>7</v>
      </c>
      <c r="AE13" s="97"/>
      <c r="AF13" s="97"/>
      <c r="AG13" s="98" t="s">
        <v>265</v>
      </c>
      <c r="AH13" s="99"/>
      <c r="AI13" s="99"/>
      <c r="AJ13" s="391" t="s">
        <v>17</v>
      </c>
      <c r="AK13" s="392"/>
      <c r="AL13" s="401">
        <v>3</v>
      </c>
      <c r="AM13" s="402"/>
      <c r="AN13" s="100"/>
      <c r="AO13" s="101">
        <f>IF(BQ13="","",IF(BQ13=$BL$10,"2"+AO1,IF(BQ13=$BM$10,"1"+AO1,IF(BQ13=$BN$10,"0"+AO1,IF(BQ13=$BO$10,"0"+AO1,IF(BQ13=$BP$10,"0"+AO1,"0"+AO1))))))</f>
        <v>1</v>
      </c>
      <c r="AP13" s="95" t="s">
        <v>16</v>
      </c>
      <c r="AQ13" s="102"/>
      <c r="AR13" s="103">
        <f>IF(BQ13="","",IF(BQ13=$BL$11,"2"+AR1,IF(BQ13=$BM$11,"1"+AR1,IF(BQ13=$BN$11,"0"+AR1,IF(BQ13=$BO$11,"0"+AR1,IF(BQ13=$BP$11,"0"+AR1,"0"+AR1))))))</f>
        <v>0</v>
      </c>
      <c r="AY13" s="38" t="str">
        <f>CONCATENATE(AJ13&amp;AL13)</f>
        <v>W3</v>
      </c>
      <c r="AZ13" s="38" t="str">
        <f>IF(AE13=$AW$11,"2","0")</f>
        <v>0</v>
      </c>
      <c r="BA13" s="38" t="str">
        <f>IF(AG13=$AW$11,"1","0")</f>
        <v>1</v>
      </c>
      <c r="BB13" s="38" t="str">
        <f>IF(AF13=$AW$11,"1","0")</f>
        <v>0</v>
      </c>
      <c r="BC13" s="38">
        <f>AZ13+BA13</f>
        <v>1</v>
      </c>
      <c r="BD13" s="38">
        <f>BB13+0</f>
        <v>0</v>
      </c>
      <c r="BL13" s="38" t="str">
        <f>IF(AE13="","",CONCATENATE($BL$12&amp;AJ13&amp;AE13))</f>
        <v/>
      </c>
      <c r="BM13" s="38" t="str">
        <f>IF(AG13="","",CONCATENATE($BM$12&amp;AJ13&amp;AG13))</f>
        <v>dWX</v>
      </c>
      <c r="BN13" s="38" t="str">
        <f>IF(AF13="","",CONCATENATE($BN$12&amp;AJ13,AF13))</f>
        <v/>
      </c>
      <c r="BO13" s="38" t="str">
        <f>IF(AH13="","",CONCATENATE($BO$12&amp;AJ13&amp;AH13))</f>
        <v/>
      </c>
      <c r="BP13" s="38" t="str">
        <f>IF(AI13="","",CONCATENATE($BP$12&amp;AJ13&amp;AI13))</f>
        <v/>
      </c>
      <c r="BQ13" s="38" t="str">
        <f>CONCATENATE(BL13&amp;BM13&amp;BN13&amp;BO13&amp;BP13)</f>
        <v>dWX</v>
      </c>
    </row>
    <row r="14" spans="1:256" ht="15.6" x14ac:dyDescent="0.3">
      <c r="A14" s="104" t="s">
        <v>265</v>
      </c>
      <c r="B14" s="397">
        <f>IF(ISBLANK(HLOOKUP($F$10,spelerslijsten!$B$1:$J$22,4,FALSE)),"",HLOOKUP($F$10,spelerslijsten!$B$1:$J$22,4,FALSE))</f>
        <v>2</v>
      </c>
      <c r="C14" s="398"/>
      <c r="D14" s="105"/>
      <c r="E14" s="106" t="str">
        <f>IF(ISBLANK(HLOOKUP($F$10,spelerslijsten!$B$1:$J$22,3,FALSE)),"",HLOOKUP($F$10,spelerslijsten!$B$1:$J$22,3,FALSE))</f>
        <v>Sean Williams</v>
      </c>
      <c r="F14" s="107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8">
        <f t="shared" ref="V14:V20" si="0">SUMIF($AY$13:$AY$46,AT14,$BC$13:$BC$46)</f>
        <v>0</v>
      </c>
      <c r="W14" s="109" t="str">
        <f>IF(AU14&gt;0,"x","")</f>
        <v/>
      </c>
      <c r="X14" s="110" t="str">
        <f>IF(AU14&gt;1,"x","")</f>
        <v/>
      </c>
      <c r="Y14" s="103" t="str">
        <f>IF(AU14&gt;2,"x","")</f>
        <v/>
      </c>
      <c r="Z14" s="111"/>
      <c r="AA14" s="112">
        <v>2</v>
      </c>
      <c r="AB14" s="113" t="str">
        <f>+AB13</f>
        <v>-</v>
      </c>
      <c r="AC14" s="112">
        <v>4</v>
      </c>
      <c r="AD14" s="114">
        <v>6</v>
      </c>
      <c r="AE14" s="115"/>
      <c r="AF14" s="115"/>
      <c r="AG14" s="116" t="s">
        <v>265</v>
      </c>
      <c r="AH14" s="117"/>
      <c r="AI14" s="117"/>
      <c r="AJ14" s="342" t="s">
        <v>17</v>
      </c>
      <c r="AK14" s="343"/>
      <c r="AL14" s="346">
        <v>7</v>
      </c>
      <c r="AM14" s="347"/>
      <c r="AN14" s="118"/>
      <c r="AO14" s="101">
        <f>IF(BQ14="","",IF(BQ14=$BL$10,"2"+AO13,IF(BQ14=$BM$10,"1"+AO13,IF(BQ14=$BN$10,"0"+AO13,IF(BQ14=$BO$10,"0"+AO13,IF(BQ14=$BP$10,"0"+AO13,"0"+AO13))))))</f>
        <v>2</v>
      </c>
      <c r="AP14" s="113" t="str">
        <f>+AP13</f>
        <v>-</v>
      </c>
      <c r="AQ14" s="119"/>
      <c r="AR14" s="103">
        <f>IF(BQ14="","",IF(BQ14=$BL$11,"2"+AR13,IF(BQ14=$BM$11,"1"+AR13,IF(BQ14=$BN$11,"0"+AR13,IF(BQ14=$BO$11,"0"+AR13,IF(BQ14=$BP$11,"0"+AR13,"0"+AR13))))))</f>
        <v>0</v>
      </c>
      <c r="AT14" s="38" t="str">
        <f>CONCATENATE($AU$11&amp;B14)</f>
        <v>W2</v>
      </c>
      <c r="AU14" s="38">
        <f>SUMIF($AY$13:$AY$46,AT14,$BD$13:$BD$46)</f>
        <v>0</v>
      </c>
      <c r="AY14" s="38" t="str">
        <f t="shared" ref="AY14:AY46" si="1">CONCATENATE(AJ14&amp;AL14)</f>
        <v>W7</v>
      </c>
      <c r="AZ14" s="38" t="str">
        <f t="shared" ref="AZ14:AZ46" si="2">IF(AE14=$AW$11,"2","0")</f>
        <v>0</v>
      </c>
      <c r="BA14" s="38" t="str">
        <f t="shared" ref="BA14:BA46" si="3">IF(AG14=$AW$11,"1","0")</f>
        <v>1</v>
      </c>
      <c r="BB14" s="38" t="str">
        <f t="shared" ref="BB14:BB46" si="4">IF(AF14=$AW$11,"1","0")</f>
        <v>0</v>
      </c>
      <c r="BC14" s="38">
        <f t="shared" ref="BC14:BC46" si="5">AZ14+BA14</f>
        <v>1</v>
      </c>
      <c r="BD14" s="38">
        <f t="shared" ref="BD14:BD46" si="6">BB14+0</f>
        <v>0</v>
      </c>
      <c r="BL14" s="38" t="str">
        <f t="shared" ref="BL14:BL46" si="7">IF(AE14="","",CONCATENATE($BL$12&amp;AJ14&amp;AE14))</f>
        <v/>
      </c>
      <c r="BM14" s="38" t="str">
        <f t="shared" ref="BM14:BM46" si="8">IF(AG14="","",CONCATENATE($BM$12&amp;AJ14&amp;AG14))</f>
        <v>dWX</v>
      </c>
      <c r="BN14" s="38" t="str">
        <f t="shared" ref="BN14:BN46" si="9">IF(AF14="","",CONCATENATE($BN$12&amp;AJ14,AF14))</f>
        <v/>
      </c>
      <c r="BO14" s="38" t="str">
        <f t="shared" ref="BO14:BO46" si="10">IF(AH14="","",CONCATENATE($BO$12&amp;AJ14&amp;AH14))</f>
        <v/>
      </c>
      <c r="BP14" s="38" t="str">
        <f t="shared" ref="BP14:BP46" si="11">IF(AI14="","",CONCATENATE($BP$12&amp;AJ14&amp;AI14))</f>
        <v/>
      </c>
      <c r="BQ14" s="38" t="str">
        <f t="shared" ref="BQ14:BQ46" si="12">CONCATENATE(BL14&amp;BM14&amp;BN14&amp;BO14&amp;BP14)</f>
        <v>dWX</v>
      </c>
    </row>
    <row r="15" spans="1:256" ht="15.6" x14ac:dyDescent="0.3">
      <c r="A15" s="120" t="s">
        <v>265</v>
      </c>
      <c r="B15" s="397">
        <f>IF(ISBLANK(HLOOKUP($F$10,spelerslijsten!$B$1:$J$22,6,FALSE)),"",HLOOKUP($F$10,spelerslijsten!$B$1:$J$22,6,FALSE))</f>
        <v>3</v>
      </c>
      <c r="C15" s="398"/>
      <c r="D15" s="121"/>
      <c r="E15" s="122" t="str">
        <f>IF(ISBLANK(HLOOKUP($F$10,spelerslijsten!$B$1:$J$22,5,FALSE)),"",HLOOKUP($F$10,spelerslijsten!$B$1:$J$22,5,FALSE))</f>
        <v>Liam Williams</v>
      </c>
      <c r="F15" s="123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08">
        <f t="shared" si="0"/>
        <v>2</v>
      </c>
      <c r="W15" s="109" t="str">
        <f t="shared" ref="W15:W23" si="13">IF(AU15&gt;0,"x","")</f>
        <v/>
      </c>
      <c r="X15" s="110" t="str">
        <f t="shared" ref="X15:X23" si="14">IF(AU15&gt;1,"x","")</f>
        <v/>
      </c>
      <c r="Y15" s="103" t="str">
        <f t="shared" ref="Y15:Y23" si="15">IF(AU15&gt;2,"x","")</f>
        <v/>
      </c>
      <c r="Z15" s="111"/>
      <c r="AA15" s="112">
        <v>3</v>
      </c>
      <c r="AB15" s="113" t="str">
        <f t="shared" ref="AB15:AB44" si="16">+AB14</f>
        <v>-</v>
      </c>
      <c r="AC15" s="112">
        <v>3</v>
      </c>
      <c r="AD15" s="114">
        <v>5</v>
      </c>
      <c r="AE15" s="115"/>
      <c r="AF15" s="115"/>
      <c r="AG15" s="116" t="s">
        <v>265</v>
      </c>
      <c r="AH15" s="117"/>
      <c r="AI15" s="117"/>
      <c r="AJ15" s="342" t="s">
        <v>17</v>
      </c>
      <c r="AK15" s="343"/>
      <c r="AL15" s="346">
        <v>3</v>
      </c>
      <c r="AM15" s="347"/>
      <c r="AN15" s="118"/>
      <c r="AO15" s="101">
        <f>IF(BQ15="","",IF(BQ15=$BL$10,"2"+AO14,IF(BQ15=$BM$10,"1"+AO14,IF(BQ15=$BN$10,"0"+AO14,IF(BQ15=$BO$10,"0"+AO14,IF(BQ15=$BP$10,"0"+AO14,"0"+AO14))))))</f>
        <v>3</v>
      </c>
      <c r="AP15" s="113" t="str">
        <f>+AP14</f>
        <v>-</v>
      </c>
      <c r="AQ15" s="119"/>
      <c r="AR15" s="103">
        <f>IF(BQ15="","",IF(BQ15=$BL$11,"2"+AR14,IF(BQ15=$BM$11,"1"+AR14,IF(BQ15=$BN$11,"0"+AR14,IF(BQ15=$BO$11,"0"+AR14,IF(BQ15=$BP$11,"0"+AR14,"0"+AR14))))))</f>
        <v>0</v>
      </c>
      <c r="AT15" s="38" t="str">
        <f t="shared" ref="AT15:AT23" si="17">CONCATENATE($AU$11&amp;B15)</f>
        <v>W3</v>
      </c>
      <c r="AU15" s="38">
        <f t="shared" ref="AU15:AU39" si="18">SUMIF($AY$13:$AY$46,AT15,$BD$13:$BD$46)</f>
        <v>0</v>
      </c>
      <c r="AY15" s="38" t="str">
        <f t="shared" si="1"/>
        <v>W3</v>
      </c>
      <c r="AZ15" s="38" t="str">
        <f t="shared" si="2"/>
        <v>0</v>
      </c>
      <c r="BA15" s="38" t="str">
        <f t="shared" si="3"/>
        <v>1</v>
      </c>
      <c r="BB15" s="38" t="str">
        <f t="shared" si="4"/>
        <v>0</v>
      </c>
      <c r="BC15" s="38">
        <f t="shared" si="5"/>
        <v>1</v>
      </c>
      <c r="BD15" s="38">
        <f t="shared" si="6"/>
        <v>0</v>
      </c>
      <c r="BL15" s="38" t="str">
        <f t="shared" si="7"/>
        <v/>
      </c>
      <c r="BM15" s="38" t="str">
        <f t="shared" si="8"/>
        <v>dWX</v>
      </c>
      <c r="BN15" s="38" t="str">
        <f t="shared" si="9"/>
        <v/>
      </c>
      <c r="BO15" s="38" t="str">
        <f t="shared" si="10"/>
        <v/>
      </c>
      <c r="BP15" s="38" t="str">
        <f t="shared" si="11"/>
        <v/>
      </c>
      <c r="BQ15" s="38" t="str">
        <f t="shared" si="12"/>
        <v>dWX</v>
      </c>
    </row>
    <row r="16" spans="1:256" ht="15.6" x14ac:dyDescent="0.3">
      <c r="A16" s="124"/>
      <c r="B16" s="397">
        <f>IF(ISBLANK(HLOOKUP($F$10,spelerslijsten!$B$1:$J$22,8,FALSE)),"",HLOOKUP($F$10,spelerslijsten!$B$1:$J$22,8,FALSE))</f>
        <v>4</v>
      </c>
      <c r="C16" s="398"/>
      <c r="D16" s="121"/>
      <c r="E16" s="122" t="str">
        <f>IF(ISBLANK(HLOOKUP($F$10,spelerslijsten!$B$1:$J$22,7,FALSE)),"",HLOOKUP($F$10,spelerslijsten!$B$1:$J$22,7,FALSE))</f>
        <v>Andre Buitink</v>
      </c>
      <c r="F16" s="12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08">
        <f t="shared" si="0"/>
        <v>0</v>
      </c>
      <c r="W16" s="109" t="str">
        <f t="shared" si="13"/>
        <v/>
      </c>
      <c r="X16" s="110" t="str">
        <f t="shared" si="14"/>
        <v/>
      </c>
      <c r="Y16" s="103" t="str">
        <f t="shared" si="15"/>
        <v/>
      </c>
      <c r="Z16" s="111"/>
      <c r="AA16" s="112">
        <v>4</v>
      </c>
      <c r="AB16" s="113" t="str">
        <f t="shared" si="16"/>
        <v>-</v>
      </c>
      <c r="AC16" s="112">
        <v>5</v>
      </c>
      <c r="AD16" s="114">
        <v>0</v>
      </c>
      <c r="AE16" s="115"/>
      <c r="AF16" s="115"/>
      <c r="AG16" s="116" t="s">
        <v>265</v>
      </c>
      <c r="AH16" s="117"/>
      <c r="AI16" s="117"/>
      <c r="AJ16" s="342" t="s">
        <v>17</v>
      </c>
      <c r="AK16" s="343"/>
      <c r="AL16" s="346">
        <v>7</v>
      </c>
      <c r="AM16" s="347"/>
      <c r="AN16" s="118"/>
      <c r="AO16" s="101">
        <f t="shared" ref="AO16:AO46" si="19">IF(BQ16="","",IF(BQ16=$BL$10,"2"+AO15,IF(BQ16=$BM$10,"1"+AO15,IF(BQ16=$BN$10,"0"+AO15,IF(BQ16=$BO$10,"0"+AO15,IF(BQ16=$BP$10,"0"+AO15,"0"+AO15))))))</f>
        <v>4</v>
      </c>
      <c r="AP16" s="113" t="str">
        <f t="shared" ref="AP16:AP46" si="20">+AP15</f>
        <v>-</v>
      </c>
      <c r="AQ16" s="119"/>
      <c r="AR16" s="103">
        <f t="shared" ref="AR16:AR46" si="21">IF(BQ16="","",IF(BQ16=$BL$11,"2"+AR15,IF(BQ16=$BM$11,"1"+AR15,IF(BQ16=$BN$11,"0"+AR15,IF(BQ16=$BO$11,"0"+AR15,IF(BQ16=$BP$11,"0"+AR15,"0"+AR15))))))</f>
        <v>0</v>
      </c>
      <c r="AT16" s="38" t="str">
        <f t="shared" si="17"/>
        <v>W4</v>
      </c>
      <c r="AU16" s="38">
        <f t="shared" si="18"/>
        <v>0</v>
      </c>
      <c r="AY16" s="38" t="str">
        <f t="shared" si="1"/>
        <v>W7</v>
      </c>
      <c r="AZ16" s="38" t="str">
        <f t="shared" si="2"/>
        <v>0</v>
      </c>
      <c r="BA16" s="38" t="str">
        <f t="shared" si="3"/>
        <v>1</v>
      </c>
      <c r="BB16" s="38" t="str">
        <f t="shared" si="4"/>
        <v>0</v>
      </c>
      <c r="BC16" s="38">
        <f t="shared" si="5"/>
        <v>1</v>
      </c>
      <c r="BD16" s="38">
        <f t="shared" si="6"/>
        <v>0</v>
      </c>
      <c r="BL16" s="38" t="str">
        <f t="shared" si="7"/>
        <v/>
      </c>
      <c r="BM16" s="38" t="str">
        <f t="shared" si="8"/>
        <v>dWX</v>
      </c>
      <c r="BN16" s="38" t="str">
        <f t="shared" si="9"/>
        <v/>
      </c>
      <c r="BO16" s="38" t="str">
        <f t="shared" si="10"/>
        <v/>
      </c>
      <c r="BP16" s="38" t="str">
        <f t="shared" si="11"/>
        <v/>
      </c>
      <c r="BQ16" s="38" t="str">
        <f t="shared" si="12"/>
        <v>dWX</v>
      </c>
    </row>
    <row r="17" spans="1:69" ht="15.6" x14ac:dyDescent="0.3">
      <c r="A17" s="124"/>
      <c r="B17" s="397">
        <f>IF(ISBLANK(HLOOKUP($F$10,spelerslijsten!$B$1:$J$22,10,FALSE)),"",HLOOKUP($F$10,spelerslijsten!$B$1:$J$22,10,FALSE))</f>
        <v>5</v>
      </c>
      <c r="C17" s="398"/>
      <c r="D17" s="121"/>
      <c r="E17" s="122" t="str">
        <f>IF(ISBLANK(HLOOKUP($F$10,spelerslijsten!$B$1:$J$22,9,FALSE)),"",HLOOKUP($F$10,spelerslijsten!$B$1:$J$22,9,FALSE))</f>
        <v>Marco Ensink</v>
      </c>
      <c r="F17" s="12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08">
        <f t="shared" si="0"/>
        <v>0</v>
      </c>
      <c r="W17" s="109" t="str">
        <f t="shared" si="13"/>
        <v/>
      </c>
      <c r="X17" s="110" t="str">
        <f t="shared" si="14"/>
        <v/>
      </c>
      <c r="Y17" s="103" t="str">
        <f t="shared" si="15"/>
        <v/>
      </c>
      <c r="Z17" s="111"/>
      <c r="AA17" s="112">
        <v>5</v>
      </c>
      <c r="AB17" s="113" t="str">
        <f t="shared" si="16"/>
        <v>-</v>
      </c>
      <c r="AC17" s="112">
        <v>3</v>
      </c>
      <c r="AD17" s="114">
        <v>0</v>
      </c>
      <c r="AE17" s="115"/>
      <c r="AF17" s="115"/>
      <c r="AG17" s="116" t="s">
        <v>265</v>
      </c>
      <c r="AH17" s="117"/>
      <c r="AI17" s="117"/>
      <c r="AJ17" s="342" t="s">
        <v>18</v>
      </c>
      <c r="AK17" s="343"/>
      <c r="AL17" s="346">
        <v>6</v>
      </c>
      <c r="AM17" s="347"/>
      <c r="AN17" s="118"/>
      <c r="AO17" s="101">
        <f t="shared" si="19"/>
        <v>4</v>
      </c>
      <c r="AP17" s="113" t="str">
        <f t="shared" si="20"/>
        <v>-</v>
      </c>
      <c r="AQ17" s="119"/>
      <c r="AR17" s="103">
        <f t="shared" si="21"/>
        <v>1</v>
      </c>
      <c r="AT17" s="38" t="str">
        <f t="shared" si="17"/>
        <v>W5</v>
      </c>
      <c r="AU17" s="38">
        <f t="shared" si="18"/>
        <v>0</v>
      </c>
      <c r="AY17" s="38" t="str">
        <f t="shared" si="1"/>
        <v>B6</v>
      </c>
      <c r="AZ17" s="38" t="str">
        <f t="shared" si="2"/>
        <v>0</v>
      </c>
      <c r="BA17" s="38" t="str">
        <f t="shared" si="3"/>
        <v>1</v>
      </c>
      <c r="BB17" s="38" t="str">
        <f t="shared" si="4"/>
        <v>0</v>
      </c>
      <c r="BC17" s="38">
        <f t="shared" si="5"/>
        <v>1</v>
      </c>
      <c r="BD17" s="38">
        <f t="shared" si="6"/>
        <v>0</v>
      </c>
      <c r="BL17" s="38" t="str">
        <f t="shared" si="7"/>
        <v/>
      </c>
      <c r="BM17" s="38" t="str">
        <f t="shared" si="8"/>
        <v>dBX</v>
      </c>
      <c r="BN17" s="38" t="str">
        <f t="shared" si="9"/>
        <v/>
      </c>
      <c r="BO17" s="38" t="str">
        <f t="shared" si="10"/>
        <v/>
      </c>
      <c r="BP17" s="38" t="str">
        <f t="shared" si="11"/>
        <v/>
      </c>
      <c r="BQ17" s="38" t="str">
        <f t="shared" si="12"/>
        <v>dBX</v>
      </c>
    </row>
    <row r="18" spans="1:69" ht="15.6" x14ac:dyDescent="0.3">
      <c r="A18" s="124" t="s">
        <v>265</v>
      </c>
      <c r="B18" s="397">
        <f>IF(ISBLANK(HLOOKUP($F$10,spelerslijsten!$B$1:$J$22,12,FALSE)),"",HLOOKUP($F$10,spelerslijsten!$B$1:$J$22,12,FALSE))</f>
        <v>6</v>
      </c>
      <c r="C18" s="398"/>
      <c r="D18" s="121"/>
      <c r="E18" s="122" t="str">
        <f>IF(ISBLANK(HLOOKUP($F$10,spelerslijsten!$B$1:$J$22,11,FALSE)),"",HLOOKUP($F$10,spelerslijsten!$B$1:$J$22,11,FALSE))</f>
        <v>Precilla Beune</v>
      </c>
      <c r="F18" s="12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08">
        <f t="shared" si="0"/>
        <v>0</v>
      </c>
      <c r="W18" s="109" t="str">
        <f t="shared" si="13"/>
        <v/>
      </c>
      <c r="X18" s="110" t="str">
        <f t="shared" si="14"/>
        <v/>
      </c>
      <c r="Y18" s="103" t="str">
        <f t="shared" si="15"/>
        <v/>
      </c>
      <c r="Z18" s="111"/>
      <c r="AA18" s="112">
        <v>9</v>
      </c>
      <c r="AB18" s="113" t="s">
        <v>16</v>
      </c>
      <c r="AC18" s="112">
        <v>5</v>
      </c>
      <c r="AD18" s="114">
        <v>5</v>
      </c>
      <c r="AE18" s="115"/>
      <c r="AF18" s="115"/>
      <c r="AG18" s="116" t="s">
        <v>265</v>
      </c>
      <c r="AH18" s="117"/>
      <c r="AI18" s="117"/>
      <c r="AJ18" s="342" t="s">
        <v>17</v>
      </c>
      <c r="AK18" s="343"/>
      <c r="AL18" s="346">
        <v>7</v>
      </c>
      <c r="AM18" s="347"/>
      <c r="AN18" s="118"/>
      <c r="AO18" s="101">
        <f t="shared" si="19"/>
        <v>5</v>
      </c>
      <c r="AP18" s="113" t="str">
        <f t="shared" si="20"/>
        <v>-</v>
      </c>
      <c r="AQ18" s="119"/>
      <c r="AR18" s="103">
        <f t="shared" si="21"/>
        <v>1</v>
      </c>
      <c r="AT18" s="38" t="str">
        <f t="shared" si="17"/>
        <v>W6</v>
      </c>
      <c r="AU18" s="38">
        <f t="shared" si="18"/>
        <v>0</v>
      </c>
      <c r="AY18" s="38" t="str">
        <f t="shared" si="1"/>
        <v>W7</v>
      </c>
      <c r="AZ18" s="38" t="str">
        <f t="shared" si="2"/>
        <v>0</v>
      </c>
      <c r="BA18" s="38" t="str">
        <f t="shared" si="3"/>
        <v>1</v>
      </c>
      <c r="BB18" s="38" t="str">
        <f t="shared" si="4"/>
        <v>0</v>
      </c>
      <c r="BC18" s="38">
        <f t="shared" si="5"/>
        <v>1</v>
      </c>
      <c r="BD18" s="38">
        <f t="shared" si="6"/>
        <v>0</v>
      </c>
      <c r="BL18" s="38" t="str">
        <f t="shared" si="7"/>
        <v/>
      </c>
      <c r="BM18" s="38" t="str">
        <f t="shared" si="8"/>
        <v>dWX</v>
      </c>
      <c r="BN18" s="38" t="str">
        <f t="shared" si="9"/>
        <v/>
      </c>
      <c r="BO18" s="38" t="str">
        <f t="shared" si="10"/>
        <v/>
      </c>
      <c r="BP18" s="38" t="str">
        <f t="shared" si="11"/>
        <v/>
      </c>
      <c r="BQ18" s="38" t="str">
        <f t="shared" si="12"/>
        <v>dWX</v>
      </c>
    </row>
    <row r="19" spans="1:69" ht="15.6" x14ac:dyDescent="0.3">
      <c r="A19" s="124" t="s">
        <v>265</v>
      </c>
      <c r="B19" s="397">
        <f>IF(ISBLANK(HLOOKUP($F$10,spelerslijsten!$B$1:$J$22,14,FALSE)),"",HLOOKUP($F$10,spelerslijsten!$B$1:$J$22,14,FALSE))</f>
        <v>7</v>
      </c>
      <c r="C19" s="398"/>
      <c r="D19" s="121"/>
      <c r="E19" s="122" t="str">
        <f>IF(ISBLANK(HLOOKUP($F$10,spelerslijsten!$B$1:$J$22,13,FALSE)),"",HLOOKUP($F$10,spelerslijsten!$B$1:$J$22,13,FALSE))</f>
        <v>Timo Hazelhoff</v>
      </c>
      <c r="F19" s="12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08">
        <f t="shared" si="0"/>
        <v>3</v>
      </c>
      <c r="W19" s="109" t="str">
        <f t="shared" si="13"/>
        <v/>
      </c>
      <c r="X19" s="110" t="str">
        <f t="shared" si="14"/>
        <v/>
      </c>
      <c r="Y19" s="103" t="str">
        <f t="shared" si="15"/>
        <v/>
      </c>
      <c r="Z19" s="111">
        <v>1</v>
      </c>
      <c r="AA19" s="112">
        <v>2</v>
      </c>
      <c r="AB19" s="113" t="str">
        <f t="shared" si="16"/>
        <v>-</v>
      </c>
      <c r="AC19" s="112">
        <v>3</v>
      </c>
      <c r="AD19" s="114">
        <v>5</v>
      </c>
      <c r="AE19" s="115"/>
      <c r="AF19" s="115"/>
      <c r="AG19" s="116" t="s">
        <v>265</v>
      </c>
      <c r="AH19" s="117"/>
      <c r="AI19" s="117"/>
      <c r="AJ19" s="342" t="s">
        <v>18</v>
      </c>
      <c r="AK19" s="343"/>
      <c r="AL19" s="346">
        <v>4</v>
      </c>
      <c r="AM19" s="347"/>
      <c r="AN19" s="118"/>
      <c r="AO19" s="101">
        <f t="shared" si="19"/>
        <v>5</v>
      </c>
      <c r="AP19" s="113" t="str">
        <f t="shared" si="20"/>
        <v>-</v>
      </c>
      <c r="AQ19" s="119"/>
      <c r="AR19" s="103">
        <f t="shared" si="21"/>
        <v>2</v>
      </c>
      <c r="AT19" s="38" t="str">
        <f t="shared" si="17"/>
        <v>W7</v>
      </c>
      <c r="AU19" s="38">
        <f t="shared" si="18"/>
        <v>0</v>
      </c>
      <c r="AY19" s="38" t="str">
        <f t="shared" si="1"/>
        <v>B4</v>
      </c>
      <c r="AZ19" s="38" t="str">
        <f t="shared" si="2"/>
        <v>0</v>
      </c>
      <c r="BA19" s="38" t="str">
        <f t="shared" si="3"/>
        <v>1</v>
      </c>
      <c r="BB19" s="38" t="str">
        <f t="shared" si="4"/>
        <v>0</v>
      </c>
      <c r="BC19" s="38">
        <f t="shared" si="5"/>
        <v>1</v>
      </c>
      <c r="BD19" s="38">
        <f t="shared" si="6"/>
        <v>0</v>
      </c>
      <c r="BL19" s="38" t="str">
        <f t="shared" si="7"/>
        <v/>
      </c>
      <c r="BM19" s="38" t="str">
        <f t="shared" si="8"/>
        <v>dBX</v>
      </c>
      <c r="BN19" s="38" t="str">
        <f t="shared" si="9"/>
        <v/>
      </c>
      <c r="BO19" s="38" t="str">
        <f t="shared" si="10"/>
        <v/>
      </c>
      <c r="BP19" s="38" t="str">
        <f t="shared" si="11"/>
        <v/>
      </c>
      <c r="BQ19" s="38" t="str">
        <f t="shared" si="12"/>
        <v>dBX</v>
      </c>
    </row>
    <row r="20" spans="1:69" ht="15.6" x14ac:dyDescent="0.3">
      <c r="A20" s="124" t="s">
        <v>265</v>
      </c>
      <c r="B20" s="397">
        <f>IF(ISBLANK(HLOOKUP($F$10,spelerslijsten!$B$1:$J$22,16,FALSE)),"",HLOOKUP($F$10,spelerslijsten!$B$1:$J$22,16,FALSE))</f>
        <v>8</v>
      </c>
      <c r="C20" s="398"/>
      <c r="D20" s="121"/>
      <c r="E20" s="122" t="str">
        <f>IF(ISBLANK(HLOOKUP($F$10,spelerslijsten!$B$1:$J$22,15,FALSE)),"",HLOOKUP($F$10,spelerslijsten!$B$1:$J$22,15,FALSE))</f>
        <v>Mike Regtop</v>
      </c>
      <c r="F20" s="12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08">
        <f t="shared" si="0"/>
        <v>0</v>
      </c>
      <c r="W20" s="109" t="str">
        <f t="shared" si="13"/>
        <v/>
      </c>
      <c r="X20" s="110" t="str">
        <f t="shared" si="14"/>
        <v/>
      </c>
      <c r="Y20" s="103" t="str">
        <f t="shared" si="15"/>
        <v/>
      </c>
      <c r="Z20" s="111"/>
      <c r="AA20" s="112"/>
      <c r="AB20" s="113" t="str">
        <f t="shared" si="16"/>
        <v>-</v>
      </c>
      <c r="AC20" s="112"/>
      <c r="AD20" s="114"/>
      <c r="AE20" s="115"/>
      <c r="AF20" s="115"/>
      <c r="AG20" s="116"/>
      <c r="AH20" s="117"/>
      <c r="AI20" s="117"/>
      <c r="AJ20" s="342"/>
      <c r="AK20" s="343"/>
      <c r="AL20" s="346"/>
      <c r="AM20" s="347"/>
      <c r="AN20" s="118"/>
      <c r="AO20" s="101" t="str">
        <f t="shared" si="19"/>
        <v/>
      </c>
      <c r="AP20" s="113" t="str">
        <f t="shared" si="20"/>
        <v>-</v>
      </c>
      <c r="AQ20" s="119"/>
      <c r="AR20" s="103" t="str">
        <f t="shared" si="21"/>
        <v/>
      </c>
      <c r="AT20" s="38" t="str">
        <f t="shared" si="17"/>
        <v>W8</v>
      </c>
      <c r="AU20" s="38">
        <f t="shared" si="18"/>
        <v>0</v>
      </c>
      <c r="AY20" s="38" t="str">
        <f t="shared" si="1"/>
        <v/>
      </c>
      <c r="AZ20" s="38" t="str">
        <f t="shared" si="2"/>
        <v>0</v>
      </c>
      <c r="BA20" s="38" t="str">
        <f t="shared" si="3"/>
        <v>0</v>
      </c>
      <c r="BB20" s="38" t="str">
        <f t="shared" si="4"/>
        <v>0</v>
      </c>
      <c r="BC20" s="38">
        <f t="shared" si="5"/>
        <v>0</v>
      </c>
      <c r="BD20" s="38">
        <f t="shared" si="6"/>
        <v>0</v>
      </c>
      <c r="BL20" s="38" t="str">
        <f t="shared" si="7"/>
        <v/>
      </c>
      <c r="BM20" s="38" t="str">
        <f t="shared" si="8"/>
        <v/>
      </c>
      <c r="BN20" s="38" t="str">
        <f t="shared" si="9"/>
        <v/>
      </c>
      <c r="BO20" s="38" t="str">
        <f t="shared" si="10"/>
        <v/>
      </c>
      <c r="BP20" s="38" t="str">
        <f t="shared" si="11"/>
        <v/>
      </c>
      <c r="BQ20" s="38" t="str">
        <f t="shared" si="12"/>
        <v/>
      </c>
    </row>
    <row r="21" spans="1:69" ht="15.6" x14ac:dyDescent="0.3">
      <c r="A21" s="124"/>
      <c r="B21" s="397" t="str">
        <f>IF(ISBLANK(HLOOKUP($F$10,spelerslijsten!$B$1:$J$22,18,FALSE)),"",HLOOKUP($F$10,spelerslijsten!$B$1:$J$22,18,FALSE))</f>
        <v/>
      </c>
      <c r="C21" s="398"/>
      <c r="D21" s="121"/>
      <c r="E21" s="122" t="str">
        <f>IF(ISBLANK(HLOOKUP($F$10,spelerslijsten!$B$1:$J$22,17,FALSE)),"",HLOOKUP($F$10,spelerslijsten!$B$1:$J$22,17,FALSE))</f>
        <v/>
      </c>
      <c r="F21" s="12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08">
        <f>SUMIF($AY$13:$AY$46,AT21,$BC$13:$BC$46)</f>
        <v>0</v>
      </c>
      <c r="W21" s="109" t="str">
        <f t="shared" si="13"/>
        <v/>
      </c>
      <c r="X21" s="110" t="str">
        <f t="shared" si="14"/>
        <v/>
      </c>
      <c r="Y21" s="103" t="str">
        <f t="shared" si="15"/>
        <v/>
      </c>
      <c r="Z21" s="111"/>
      <c r="AA21" s="112"/>
      <c r="AB21" s="113" t="str">
        <f t="shared" si="16"/>
        <v>-</v>
      </c>
      <c r="AC21" s="112"/>
      <c r="AD21" s="114"/>
      <c r="AE21" s="115"/>
      <c r="AF21" s="115"/>
      <c r="AG21" s="116"/>
      <c r="AH21" s="117"/>
      <c r="AI21" s="117"/>
      <c r="AJ21" s="342"/>
      <c r="AK21" s="343"/>
      <c r="AL21" s="346"/>
      <c r="AM21" s="347"/>
      <c r="AN21" s="118"/>
      <c r="AO21" s="101" t="str">
        <f t="shared" si="19"/>
        <v/>
      </c>
      <c r="AP21" s="113" t="str">
        <f t="shared" si="20"/>
        <v>-</v>
      </c>
      <c r="AQ21" s="119"/>
      <c r="AR21" s="103" t="str">
        <f t="shared" si="21"/>
        <v/>
      </c>
      <c r="AT21" s="38" t="str">
        <f t="shared" si="17"/>
        <v>W</v>
      </c>
      <c r="AU21" s="38">
        <f t="shared" si="18"/>
        <v>0</v>
      </c>
      <c r="AY21" s="38" t="str">
        <f t="shared" si="1"/>
        <v/>
      </c>
      <c r="AZ21" s="38" t="str">
        <f t="shared" si="2"/>
        <v>0</v>
      </c>
      <c r="BA21" s="38" t="str">
        <f t="shared" si="3"/>
        <v>0</v>
      </c>
      <c r="BB21" s="38" t="str">
        <f t="shared" si="4"/>
        <v>0</v>
      </c>
      <c r="BC21" s="38">
        <f t="shared" si="5"/>
        <v>0</v>
      </c>
      <c r="BD21" s="38">
        <f t="shared" si="6"/>
        <v>0</v>
      </c>
      <c r="BL21" s="38" t="str">
        <f t="shared" si="7"/>
        <v/>
      </c>
      <c r="BM21" s="38" t="str">
        <f t="shared" si="8"/>
        <v/>
      </c>
      <c r="BN21" s="38" t="str">
        <f t="shared" si="9"/>
        <v/>
      </c>
      <c r="BO21" s="38" t="str">
        <f t="shared" si="10"/>
        <v/>
      </c>
      <c r="BP21" s="38" t="str">
        <f t="shared" si="11"/>
        <v/>
      </c>
      <c r="BQ21" s="38" t="str">
        <f t="shared" si="12"/>
        <v/>
      </c>
    </row>
    <row r="22" spans="1:69" ht="15.6" x14ac:dyDescent="0.3">
      <c r="A22" s="124"/>
      <c r="B22" s="397" t="str">
        <f>IF(ISBLANK(HLOOKUP($F$10,spelerslijsten!$B$1:$J$22,20,FALSE)),"",HLOOKUP($F$10,spelerslijsten!$B$1:$J$22,20,FALSE))</f>
        <v/>
      </c>
      <c r="C22" s="398"/>
      <c r="D22" s="121"/>
      <c r="E22" s="122" t="str">
        <f>IF(ISBLANK(HLOOKUP($F$10,spelerslijsten!$B$1:$J$22,19,FALSE)),"",HLOOKUP($F$10,spelerslijsten!$B$1:$J$22,19,FALSE))</f>
        <v/>
      </c>
      <c r="F22" s="12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08">
        <f t="shared" ref="V22:V23" si="22">SUMIF($AY$13:$AY$46,AT22,$BC$13:$BC$46)</f>
        <v>0</v>
      </c>
      <c r="W22" s="109" t="str">
        <f t="shared" si="13"/>
        <v/>
      </c>
      <c r="X22" s="110" t="str">
        <f t="shared" si="14"/>
        <v/>
      </c>
      <c r="Y22" s="103" t="str">
        <f t="shared" si="15"/>
        <v/>
      </c>
      <c r="Z22" s="111"/>
      <c r="AA22" s="112"/>
      <c r="AB22" s="113" t="str">
        <f t="shared" si="16"/>
        <v>-</v>
      </c>
      <c r="AC22" s="112"/>
      <c r="AD22" s="114"/>
      <c r="AE22" s="115"/>
      <c r="AF22" s="115"/>
      <c r="AG22" s="116"/>
      <c r="AH22" s="117"/>
      <c r="AI22" s="117"/>
      <c r="AJ22" s="342"/>
      <c r="AK22" s="343"/>
      <c r="AL22" s="346"/>
      <c r="AM22" s="347"/>
      <c r="AN22" s="118"/>
      <c r="AO22" s="101" t="str">
        <f t="shared" si="19"/>
        <v/>
      </c>
      <c r="AP22" s="113" t="str">
        <f t="shared" si="20"/>
        <v>-</v>
      </c>
      <c r="AQ22" s="119"/>
      <c r="AR22" s="103" t="str">
        <f t="shared" si="21"/>
        <v/>
      </c>
      <c r="AT22" s="38" t="str">
        <f t="shared" si="17"/>
        <v>W</v>
      </c>
      <c r="AU22" s="38">
        <f t="shared" si="18"/>
        <v>0</v>
      </c>
      <c r="AY22" s="38" t="str">
        <f t="shared" si="1"/>
        <v/>
      </c>
      <c r="AZ22" s="38" t="str">
        <f t="shared" si="2"/>
        <v>0</v>
      </c>
      <c r="BA22" s="38" t="str">
        <f t="shared" si="3"/>
        <v>0</v>
      </c>
      <c r="BB22" s="38" t="str">
        <f t="shared" si="4"/>
        <v>0</v>
      </c>
      <c r="BC22" s="38">
        <f t="shared" si="5"/>
        <v>0</v>
      </c>
      <c r="BD22" s="38">
        <f t="shared" si="6"/>
        <v>0</v>
      </c>
      <c r="BL22" s="38" t="str">
        <f t="shared" si="7"/>
        <v/>
      </c>
      <c r="BM22" s="38" t="str">
        <f t="shared" si="8"/>
        <v/>
      </c>
      <c r="BN22" s="38" t="str">
        <f t="shared" si="9"/>
        <v/>
      </c>
      <c r="BO22" s="38" t="str">
        <f t="shared" si="10"/>
        <v/>
      </c>
      <c r="BP22" s="38" t="str">
        <f t="shared" si="11"/>
        <v/>
      </c>
      <c r="BQ22" s="38" t="str">
        <f t="shared" si="12"/>
        <v/>
      </c>
    </row>
    <row r="23" spans="1:69" ht="15.6" x14ac:dyDescent="0.3">
      <c r="A23" s="125"/>
      <c r="B23" s="397" t="str">
        <f>IF(ISBLANK(HLOOKUP($F$10,spelerslijsten!$B$1:$J$22,22,FALSE)),"",HLOOKUP($F$10,spelerslijsten!$B$1:$J$22,22,FALSE))</f>
        <v/>
      </c>
      <c r="C23" s="398"/>
      <c r="D23" s="126"/>
      <c r="E23" s="259" t="str">
        <f>IF(ISBLANK(HLOOKUP($F$10,spelerslijsten!$B$1:$J$22,21,FALSE)),"",HLOOKUP($F$10,spelerslijsten!$B$1:$J$22,21,FALSE))</f>
        <v/>
      </c>
      <c r="F23" s="126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08">
        <f t="shared" si="22"/>
        <v>0</v>
      </c>
      <c r="W23" s="109" t="str">
        <f t="shared" si="13"/>
        <v/>
      </c>
      <c r="X23" s="110" t="str">
        <f t="shared" si="14"/>
        <v/>
      </c>
      <c r="Y23" s="103" t="str">
        <f t="shared" si="15"/>
        <v/>
      </c>
      <c r="Z23" s="111"/>
      <c r="AA23" s="112"/>
      <c r="AB23" s="113" t="str">
        <f t="shared" si="16"/>
        <v>-</v>
      </c>
      <c r="AC23" s="112"/>
      <c r="AD23" s="114"/>
      <c r="AE23" s="115"/>
      <c r="AF23" s="115"/>
      <c r="AG23" s="116"/>
      <c r="AH23" s="117"/>
      <c r="AI23" s="117"/>
      <c r="AJ23" s="342"/>
      <c r="AK23" s="343"/>
      <c r="AL23" s="346"/>
      <c r="AM23" s="347"/>
      <c r="AN23" s="118"/>
      <c r="AO23" s="101" t="str">
        <f t="shared" si="19"/>
        <v/>
      </c>
      <c r="AP23" s="113" t="str">
        <f t="shared" si="20"/>
        <v>-</v>
      </c>
      <c r="AQ23" s="119"/>
      <c r="AR23" s="103" t="str">
        <f t="shared" si="21"/>
        <v/>
      </c>
      <c r="AT23" s="38" t="str">
        <f t="shared" si="17"/>
        <v>W</v>
      </c>
      <c r="AU23" s="38">
        <f t="shared" si="18"/>
        <v>0</v>
      </c>
      <c r="AY23" s="38" t="str">
        <f t="shared" si="1"/>
        <v/>
      </c>
      <c r="AZ23" s="38" t="str">
        <f t="shared" si="2"/>
        <v>0</v>
      </c>
      <c r="BA23" s="38" t="str">
        <f t="shared" si="3"/>
        <v>0</v>
      </c>
      <c r="BB23" s="38" t="str">
        <f t="shared" si="4"/>
        <v>0</v>
      </c>
      <c r="BC23" s="38">
        <f t="shared" si="5"/>
        <v>0</v>
      </c>
      <c r="BD23" s="38">
        <f t="shared" si="6"/>
        <v>0</v>
      </c>
      <c r="BL23" s="38" t="str">
        <f t="shared" si="7"/>
        <v/>
      </c>
      <c r="BM23" s="38" t="str">
        <f t="shared" si="8"/>
        <v/>
      </c>
      <c r="BN23" s="38" t="str">
        <f t="shared" si="9"/>
        <v/>
      </c>
      <c r="BO23" s="38" t="str">
        <f t="shared" si="10"/>
        <v/>
      </c>
      <c r="BP23" s="38" t="str">
        <f t="shared" si="11"/>
        <v/>
      </c>
      <c r="BQ23" s="38" t="str">
        <f t="shared" si="12"/>
        <v/>
      </c>
    </row>
    <row r="24" spans="1:69" ht="16.2" thickBot="1" x14ac:dyDescent="0.35">
      <c r="A24" s="71" t="s">
        <v>67</v>
      </c>
      <c r="B24" s="72"/>
      <c r="C24" s="72"/>
      <c r="D24" s="72"/>
      <c r="E24" s="72"/>
      <c r="F24" s="72"/>
      <c r="G24" s="72"/>
      <c r="I24" s="399">
        <f>HLOOKUP(F10,spelerslijsten!B1:J25,25,FALSE)</f>
        <v>0</v>
      </c>
      <c r="J24" s="400"/>
      <c r="K24" s="74" t="s">
        <v>23</v>
      </c>
      <c r="L24" s="72"/>
      <c r="M24" s="72"/>
      <c r="N24" s="129" t="str">
        <f>HLOOKUP(F10,spelerslijsten!B1:J25,23,FALSE)</f>
        <v>Andre Buitink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30"/>
      <c r="Z24" s="131"/>
      <c r="AA24" s="132"/>
      <c r="AB24" s="133" t="str">
        <f t="shared" si="16"/>
        <v>-</v>
      </c>
      <c r="AC24" s="132"/>
      <c r="AD24" s="134"/>
      <c r="AE24" s="135"/>
      <c r="AF24" s="135"/>
      <c r="AG24" s="136"/>
      <c r="AH24" s="137"/>
      <c r="AI24" s="137"/>
      <c r="AJ24" s="342"/>
      <c r="AK24" s="343"/>
      <c r="AL24" s="350"/>
      <c r="AM24" s="351"/>
      <c r="AN24" s="138"/>
      <c r="AO24" s="101" t="str">
        <f t="shared" si="19"/>
        <v/>
      </c>
      <c r="AP24" s="113" t="str">
        <f t="shared" si="20"/>
        <v>-</v>
      </c>
      <c r="AQ24" s="119"/>
      <c r="AR24" s="103" t="str">
        <f t="shared" si="21"/>
        <v/>
      </c>
      <c r="AY24" s="38" t="str">
        <f t="shared" si="1"/>
        <v/>
      </c>
      <c r="AZ24" s="38" t="str">
        <f t="shared" si="2"/>
        <v>0</v>
      </c>
      <c r="BA24" s="38" t="str">
        <f t="shared" si="3"/>
        <v>0</v>
      </c>
      <c r="BB24" s="38" t="str">
        <f t="shared" si="4"/>
        <v>0</v>
      </c>
      <c r="BC24" s="38">
        <f t="shared" si="5"/>
        <v>0</v>
      </c>
      <c r="BD24" s="38">
        <f t="shared" si="6"/>
        <v>0</v>
      </c>
      <c r="BL24" s="38" t="str">
        <f t="shared" si="7"/>
        <v/>
      </c>
      <c r="BM24" s="38" t="str">
        <f t="shared" si="8"/>
        <v/>
      </c>
      <c r="BN24" s="38" t="str">
        <f t="shared" si="9"/>
        <v/>
      </c>
      <c r="BO24" s="38" t="str">
        <f t="shared" si="10"/>
        <v/>
      </c>
      <c r="BP24" s="38" t="str">
        <f t="shared" si="11"/>
        <v/>
      </c>
      <c r="BQ24" s="38" t="str">
        <f t="shared" si="12"/>
        <v/>
      </c>
    </row>
    <row r="25" spans="1:69" ht="15" customHeight="1" x14ac:dyDescent="0.3">
      <c r="A25" s="78" t="s">
        <v>60</v>
      </c>
      <c r="B25" s="79"/>
      <c r="C25" s="79"/>
      <c r="D25" s="79"/>
      <c r="E25" s="79"/>
      <c r="F25" s="356" t="str">
        <f>+AC7</f>
        <v>De Tubanten 2</v>
      </c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7"/>
      <c r="Z25" s="139"/>
      <c r="AA25" s="140"/>
      <c r="AB25" s="141" t="str">
        <f t="shared" si="16"/>
        <v>-</v>
      </c>
      <c r="AC25" s="140"/>
      <c r="AD25" s="142"/>
      <c r="AE25" s="143"/>
      <c r="AF25" s="143"/>
      <c r="AG25" s="144"/>
      <c r="AH25" s="145"/>
      <c r="AI25" s="145"/>
      <c r="AJ25" s="342"/>
      <c r="AK25" s="343"/>
      <c r="AL25" s="346"/>
      <c r="AM25" s="347"/>
      <c r="AN25" s="146"/>
      <c r="AO25" s="101" t="str">
        <f t="shared" si="19"/>
        <v/>
      </c>
      <c r="AP25" s="113" t="str">
        <f t="shared" si="20"/>
        <v>-</v>
      </c>
      <c r="AQ25" s="119"/>
      <c r="AR25" s="103" t="str">
        <f t="shared" si="21"/>
        <v/>
      </c>
      <c r="AY25" s="38" t="str">
        <f t="shared" si="1"/>
        <v/>
      </c>
      <c r="AZ25" s="38" t="str">
        <f t="shared" si="2"/>
        <v>0</v>
      </c>
      <c r="BA25" s="38" t="str">
        <f t="shared" si="3"/>
        <v>0</v>
      </c>
      <c r="BB25" s="38" t="str">
        <f t="shared" si="4"/>
        <v>0</v>
      </c>
      <c r="BC25" s="38">
        <f t="shared" si="5"/>
        <v>0</v>
      </c>
      <c r="BD25" s="38">
        <f t="shared" si="6"/>
        <v>0</v>
      </c>
      <c r="BL25" s="38" t="str">
        <f t="shared" si="7"/>
        <v/>
      </c>
      <c r="BM25" s="38" t="str">
        <f t="shared" si="8"/>
        <v/>
      </c>
      <c r="BN25" s="38" t="str">
        <f t="shared" si="9"/>
        <v/>
      </c>
      <c r="BO25" s="38" t="str">
        <f t="shared" si="10"/>
        <v/>
      </c>
      <c r="BP25" s="38" t="str">
        <f t="shared" si="11"/>
        <v/>
      </c>
      <c r="BQ25" s="38" t="str">
        <f t="shared" si="12"/>
        <v/>
      </c>
    </row>
    <row r="26" spans="1:69" ht="15" customHeight="1" x14ac:dyDescent="0.3">
      <c r="A26" s="393" t="s">
        <v>24</v>
      </c>
      <c r="B26" s="394"/>
      <c r="C26" s="394"/>
      <c r="D26" s="394"/>
      <c r="E26" s="81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9"/>
      <c r="Z26" s="139"/>
      <c r="AA26" s="140"/>
      <c r="AB26" s="141" t="s">
        <v>16</v>
      </c>
      <c r="AC26" s="140"/>
      <c r="AD26" s="142"/>
      <c r="AE26" s="143"/>
      <c r="AF26" s="143"/>
      <c r="AG26" s="144"/>
      <c r="AH26" s="145"/>
      <c r="AI26" s="145"/>
      <c r="AJ26" s="342"/>
      <c r="AK26" s="343"/>
      <c r="AL26" s="346"/>
      <c r="AM26" s="347"/>
      <c r="AN26" s="146"/>
      <c r="AO26" s="101" t="str">
        <f t="shared" si="19"/>
        <v/>
      </c>
      <c r="AP26" s="113" t="str">
        <f t="shared" si="20"/>
        <v>-</v>
      </c>
      <c r="AQ26" s="119"/>
      <c r="AR26" s="103" t="str">
        <f t="shared" si="21"/>
        <v/>
      </c>
      <c r="AY26" s="38" t="str">
        <f t="shared" si="1"/>
        <v/>
      </c>
      <c r="AZ26" s="38" t="str">
        <f t="shared" si="2"/>
        <v>0</v>
      </c>
      <c r="BA26" s="38" t="str">
        <f t="shared" si="3"/>
        <v>0</v>
      </c>
      <c r="BB26" s="38" t="str">
        <f t="shared" si="4"/>
        <v>0</v>
      </c>
      <c r="BC26" s="38">
        <f t="shared" si="5"/>
        <v>0</v>
      </c>
      <c r="BD26" s="38">
        <f t="shared" si="6"/>
        <v>0</v>
      </c>
      <c r="BL26" s="38" t="str">
        <f t="shared" si="7"/>
        <v/>
      </c>
      <c r="BM26" s="38" t="str">
        <f t="shared" si="8"/>
        <v/>
      </c>
      <c r="BN26" s="38" t="str">
        <f t="shared" si="9"/>
        <v/>
      </c>
      <c r="BO26" s="38" t="str">
        <f t="shared" si="10"/>
        <v/>
      </c>
      <c r="BP26" s="38" t="str">
        <f t="shared" si="11"/>
        <v/>
      </c>
      <c r="BQ26" s="38" t="str">
        <f t="shared" si="12"/>
        <v/>
      </c>
    </row>
    <row r="27" spans="1:69" ht="15.6" x14ac:dyDescent="0.3">
      <c r="A27" s="393"/>
      <c r="B27" s="394"/>
      <c r="C27" s="394"/>
      <c r="D27" s="394"/>
      <c r="E27" s="81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9"/>
      <c r="Z27" s="139"/>
      <c r="AA27" s="140"/>
      <c r="AB27" s="141" t="s">
        <v>16</v>
      </c>
      <c r="AC27" s="140"/>
      <c r="AD27" s="142"/>
      <c r="AE27" s="143"/>
      <c r="AF27" s="143"/>
      <c r="AG27" s="144"/>
      <c r="AH27" s="145"/>
      <c r="AI27" s="145"/>
      <c r="AJ27" s="342"/>
      <c r="AK27" s="343"/>
      <c r="AL27" s="346"/>
      <c r="AM27" s="347"/>
      <c r="AN27" s="146"/>
      <c r="AO27" s="101" t="str">
        <f t="shared" si="19"/>
        <v/>
      </c>
      <c r="AP27" s="113" t="str">
        <f t="shared" si="20"/>
        <v>-</v>
      </c>
      <c r="AQ27" s="119"/>
      <c r="AR27" s="103" t="str">
        <f t="shared" si="21"/>
        <v/>
      </c>
      <c r="AY27" s="38" t="str">
        <f t="shared" si="1"/>
        <v/>
      </c>
      <c r="AZ27" s="38" t="str">
        <f t="shared" si="2"/>
        <v>0</v>
      </c>
      <c r="BA27" s="38" t="str">
        <f t="shared" si="3"/>
        <v>0</v>
      </c>
      <c r="BB27" s="38" t="str">
        <f t="shared" si="4"/>
        <v>0</v>
      </c>
      <c r="BC27" s="38">
        <f t="shared" si="5"/>
        <v>0</v>
      </c>
      <c r="BD27" s="38">
        <f t="shared" si="6"/>
        <v>0</v>
      </c>
      <c r="BL27" s="38" t="str">
        <f t="shared" si="7"/>
        <v/>
      </c>
      <c r="BM27" s="38" t="str">
        <f t="shared" si="8"/>
        <v/>
      </c>
      <c r="BN27" s="38" t="str">
        <f t="shared" si="9"/>
        <v/>
      </c>
      <c r="BO27" s="38" t="str">
        <f t="shared" si="10"/>
        <v/>
      </c>
      <c r="BP27" s="38" t="str">
        <f t="shared" si="11"/>
        <v/>
      </c>
      <c r="BQ27" s="38" t="str">
        <f t="shared" si="12"/>
        <v/>
      </c>
    </row>
    <row r="28" spans="1:69" ht="15.6" x14ac:dyDescent="0.3">
      <c r="A28" s="395"/>
      <c r="B28" s="396"/>
      <c r="C28" s="396"/>
      <c r="D28" s="396"/>
      <c r="E28" s="81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1"/>
      <c r="Z28" s="147"/>
      <c r="AA28" s="140"/>
      <c r="AB28" s="148" t="str">
        <f>+AB25</f>
        <v>-</v>
      </c>
      <c r="AC28" s="140"/>
      <c r="AD28" s="142"/>
      <c r="AE28" s="143"/>
      <c r="AF28" s="143"/>
      <c r="AG28" s="144"/>
      <c r="AH28" s="145"/>
      <c r="AI28" s="145"/>
      <c r="AJ28" s="342"/>
      <c r="AK28" s="343"/>
      <c r="AL28" s="346"/>
      <c r="AM28" s="347"/>
      <c r="AN28" s="146"/>
      <c r="AO28" s="101" t="str">
        <f t="shared" si="19"/>
        <v/>
      </c>
      <c r="AP28" s="113" t="str">
        <f t="shared" si="20"/>
        <v>-</v>
      </c>
      <c r="AQ28" s="119"/>
      <c r="AR28" s="103" t="str">
        <f t="shared" si="21"/>
        <v/>
      </c>
      <c r="AY28" s="38" t="str">
        <f t="shared" si="1"/>
        <v/>
      </c>
      <c r="AZ28" s="38" t="str">
        <f t="shared" si="2"/>
        <v>0</v>
      </c>
      <c r="BA28" s="38" t="str">
        <f t="shared" si="3"/>
        <v>0</v>
      </c>
      <c r="BB28" s="38" t="str">
        <f t="shared" si="4"/>
        <v>0</v>
      </c>
      <c r="BC28" s="38">
        <f t="shared" si="5"/>
        <v>0</v>
      </c>
      <c r="BD28" s="38">
        <f t="shared" si="6"/>
        <v>0</v>
      </c>
      <c r="BL28" s="38" t="str">
        <f t="shared" si="7"/>
        <v/>
      </c>
      <c r="BM28" s="38" t="str">
        <f t="shared" si="8"/>
        <v/>
      </c>
      <c r="BN28" s="38" t="str">
        <f t="shared" si="9"/>
        <v/>
      </c>
      <c r="BO28" s="38" t="str">
        <f t="shared" si="10"/>
        <v/>
      </c>
      <c r="BP28" s="38" t="str">
        <f t="shared" si="11"/>
        <v/>
      </c>
      <c r="BQ28" s="38" t="str">
        <f t="shared" si="12"/>
        <v/>
      </c>
    </row>
    <row r="29" spans="1:69" ht="15.6" x14ac:dyDescent="0.3">
      <c r="A29" s="86" t="s">
        <v>0</v>
      </c>
      <c r="B29" s="87" t="s">
        <v>1</v>
      </c>
      <c r="C29" s="64"/>
      <c r="D29" s="89"/>
      <c r="E29" s="88" t="s">
        <v>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90"/>
      <c r="V29" s="91" t="s">
        <v>3</v>
      </c>
      <c r="W29" s="91" t="s">
        <v>4</v>
      </c>
      <c r="X29" s="91" t="s">
        <v>5</v>
      </c>
      <c r="Y29" s="92" t="s">
        <v>6</v>
      </c>
      <c r="Z29" s="111"/>
      <c r="AA29" s="149"/>
      <c r="AB29" s="150" t="str">
        <f t="shared" si="16"/>
        <v>-</v>
      </c>
      <c r="AC29" s="149"/>
      <c r="AD29" s="151"/>
      <c r="AE29" s="152"/>
      <c r="AF29" s="152"/>
      <c r="AG29" s="153"/>
      <c r="AH29" s="154"/>
      <c r="AI29" s="154"/>
      <c r="AJ29" s="342"/>
      <c r="AK29" s="343"/>
      <c r="AL29" s="348"/>
      <c r="AM29" s="349"/>
      <c r="AN29" s="155"/>
      <c r="AO29" s="101" t="str">
        <f t="shared" si="19"/>
        <v/>
      </c>
      <c r="AP29" s="113" t="str">
        <f t="shared" si="20"/>
        <v>-</v>
      </c>
      <c r="AQ29" s="119"/>
      <c r="AR29" s="103" t="str">
        <f t="shared" si="21"/>
        <v/>
      </c>
      <c r="AY29" s="38" t="str">
        <f t="shared" si="1"/>
        <v/>
      </c>
      <c r="AZ29" s="38" t="str">
        <f t="shared" si="2"/>
        <v>0</v>
      </c>
      <c r="BA29" s="38" t="str">
        <f t="shared" si="3"/>
        <v>0</v>
      </c>
      <c r="BB29" s="38" t="str">
        <f t="shared" si="4"/>
        <v>0</v>
      </c>
      <c r="BC29" s="38">
        <f t="shared" si="5"/>
        <v>0</v>
      </c>
      <c r="BD29" s="38">
        <f t="shared" si="6"/>
        <v>0</v>
      </c>
      <c r="BL29" s="38" t="str">
        <f t="shared" si="7"/>
        <v/>
      </c>
      <c r="BM29" s="38" t="str">
        <f t="shared" si="8"/>
        <v/>
      </c>
      <c r="BN29" s="38" t="str">
        <f t="shared" si="9"/>
        <v/>
      </c>
      <c r="BO29" s="38" t="str">
        <f t="shared" si="10"/>
        <v/>
      </c>
      <c r="BP29" s="38" t="str">
        <f t="shared" si="11"/>
        <v/>
      </c>
      <c r="BQ29" s="38" t="str">
        <f t="shared" si="12"/>
        <v/>
      </c>
    </row>
    <row r="30" spans="1:69" ht="15.6" x14ac:dyDescent="0.3">
      <c r="A30" s="104" t="s">
        <v>265</v>
      </c>
      <c r="B30" s="397">
        <f>IF(ISBLANK(HLOOKUP($F$25,spelerslijsten!$B$1:$J$22,4,FALSE)),"",HLOOKUP($F$25,spelerslijsten!$B$1:$J$22,4,FALSE))</f>
        <v>2</v>
      </c>
      <c r="C30" s="398"/>
      <c r="D30" s="105"/>
      <c r="E30" s="106" t="str">
        <f>IF(ISBLANK(HLOOKUP($F$25,spelerslijsten!$B$1:$J$22,3,FALSE)),"",HLOOKUP($F$25,spelerslijsten!$B$1:$J$22,3,FALSE))</f>
        <v>Yevgeni Petrov</v>
      </c>
      <c r="F30" s="105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8">
        <f t="shared" ref="V30:V39" si="23">SUMIF($AY$13:$AY$46,AT30,$BC$13:$BC$46)</f>
        <v>0</v>
      </c>
      <c r="W30" s="109" t="str">
        <f>IF(AU30&gt;0,"x","")</f>
        <v/>
      </c>
      <c r="X30" s="110" t="str">
        <f>IF(AU30&gt;1,"x","")</f>
        <v/>
      </c>
      <c r="Y30" s="103" t="str">
        <f>IF(AU30&gt;2,"x","")</f>
        <v/>
      </c>
      <c r="Z30" s="111"/>
      <c r="AA30" s="112"/>
      <c r="AB30" s="113" t="str">
        <f t="shared" si="16"/>
        <v>-</v>
      </c>
      <c r="AC30" s="112"/>
      <c r="AD30" s="114"/>
      <c r="AE30" s="115"/>
      <c r="AF30" s="115"/>
      <c r="AG30" s="116"/>
      <c r="AH30" s="117"/>
      <c r="AI30" s="117"/>
      <c r="AJ30" s="342"/>
      <c r="AK30" s="343"/>
      <c r="AL30" s="346"/>
      <c r="AM30" s="347"/>
      <c r="AN30" s="118"/>
      <c r="AO30" s="101" t="str">
        <f t="shared" si="19"/>
        <v/>
      </c>
      <c r="AP30" s="113" t="str">
        <f t="shared" si="20"/>
        <v>-</v>
      </c>
      <c r="AQ30" s="119"/>
      <c r="AR30" s="103" t="str">
        <f t="shared" si="21"/>
        <v/>
      </c>
      <c r="AT30" s="38" t="str">
        <f>CONCATENATE($AV$11&amp;B30)</f>
        <v>B2</v>
      </c>
      <c r="AU30" s="38">
        <f t="shared" si="18"/>
        <v>0</v>
      </c>
      <c r="AY30" s="38" t="str">
        <f t="shared" si="1"/>
        <v/>
      </c>
      <c r="AZ30" s="38" t="str">
        <f t="shared" si="2"/>
        <v>0</v>
      </c>
      <c r="BA30" s="38" t="str">
        <f t="shared" si="3"/>
        <v>0</v>
      </c>
      <c r="BB30" s="38" t="str">
        <f t="shared" si="4"/>
        <v>0</v>
      </c>
      <c r="BC30" s="38">
        <f t="shared" si="5"/>
        <v>0</v>
      </c>
      <c r="BD30" s="38">
        <f t="shared" si="6"/>
        <v>0</v>
      </c>
      <c r="BL30" s="38" t="str">
        <f t="shared" si="7"/>
        <v/>
      </c>
      <c r="BM30" s="38" t="str">
        <f t="shared" si="8"/>
        <v/>
      </c>
      <c r="BN30" s="38" t="str">
        <f t="shared" si="9"/>
        <v/>
      </c>
      <c r="BO30" s="38" t="str">
        <f t="shared" si="10"/>
        <v/>
      </c>
      <c r="BP30" s="38" t="str">
        <f t="shared" si="11"/>
        <v/>
      </c>
      <c r="BQ30" s="38" t="str">
        <f t="shared" si="12"/>
        <v/>
      </c>
    </row>
    <row r="31" spans="1:69" ht="15.6" x14ac:dyDescent="0.3">
      <c r="A31" s="120" t="s">
        <v>265</v>
      </c>
      <c r="B31" s="397">
        <f>IF(ISBLANK(HLOOKUP($F$25,spelerslijsten!$B$1:$J$22,6,FALSE)),"",HLOOKUP($F$25,spelerslijsten!$B$1:$J$22,6,FALSE))</f>
        <v>3</v>
      </c>
      <c r="C31" s="398"/>
      <c r="D31" s="121"/>
      <c r="E31" s="122" t="str">
        <f>IF(ISBLANK(HLOOKUP($F$25,spelerslijsten!$B$1:$J$22,5,FALSE)),"",HLOOKUP($F$25,spelerslijsten!$B$1:$J$22,5,FALSE))</f>
        <v>Monique Bijker</v>
      </c>
      <c r="F31" s="12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08">
        <f t="shared" si="23"/>
        <v>0</v>
      </c>
      <c r="W31" s="109" t="str">
        <f t="shared" ref="W31:W39" si="24">IF(AU31&gt;0,"x","")</f>
        <v/>
      </c>
      <c r="X31" s="110" t="str">
        <f t="shared" ref="X31:X39" si="25">IF(AU31&gt;1,"x","")</f>
        <v/>
      </c>
      <c r="Y31" s="103" t="str">
        <f t="shared" ref="Y31:Y39" si="26">IF(AU31&gt;2,"x","")</f>
        <v/>
      </c>
      <c r="Z31" s="111"/>
      <c r="AA31" s="112"/>
      <c r="AB31" s="113" t="str">
        <f t="shared" si="16"/>
        <v>-</v>
      </c>
      <c r="AC31" s="112"/>
      <c r="AD31" s="114"/>
      <c r="AE31" s="115"/>
      <c r="AF31" s="115"/>
      <c r="AG31" s="116"/>
      <c r="AH31" s="117"/>
      <c r="AI31" s="117"/>
      <c r="AJ31" s="342"/>
      <c r="AK31" s="343"/>
      <c r="AL31" s="346"/>
      <c r="AM31" s="347"/>
      <c r="AN31" s="118"/>
      <c r="AO31" s="101" t="str">
        <f t="shared" si="19"/>
        <v/>
      </c>
      <c r="AP31" s="113" t="str">
        <f t="shared" si="20"/>
        <v>-</v>
      </c>
      <c r="AQ31" s="119"/>
      <c r="AR31" s="103" t="str">
        <f t="shared" si="21"/>
        <v/>
      </c>
      <c r="AT31" s="38" t="str">
        <f t="shared" ref="AT31:AT39" si="27">CONCATENATE($AV$11&amp;B31)</f>
        <v>B3</v>
      </c>
      <c r="AU31" s="38">
        <f t="shared" si="18"/>
        <v>0</v>
      </c>
      <c r="AY31" s="38" t="str">
        <f t="shared" si="1"/>
        <v/>
      </c>
      <c r="AZ31" s="38" t="str">
        <f t="shared" si="2"/>
        <v>0</v>
      </c>
      <c r="BA31" s="38" t="str">
        <f t="shared" si="3"/>
        <v>0</v>
      </c>
      <c r="BB31" s="38" t="str">
        <f t="shared" si="4"/>
        <v>0</v>
      </c>
      <c r="BC31" s="38">
        <f t="shared" si="5"/>
        <v>0</v>
      </c>
      <c r="BD31" s="38">
        <f t="shared" si="6"/>
        <v>0</v>
      </c>
      <c r="BL31" s="38" t="str">
        <f t="shared" si="7"/>
        <v/>
      </c>
      <c r="BM31" s="38" t="str">
        <f t="shared" si="8"/>
        <v/>
      </c>
      <c r="BN31" s="38" t="str">
        <f t="shared" si="9"/>
        <v/>
      </c>
      <c r="BO31" s="38" t="str">
        <f t="shared" si="10"/>
        <v/>
      </c>
      <c r="BP31" s="38" t="str">
        <f t="shared" si="11"/>
        <v/>
      </c>
      <c r="BQ31" s="38" t="str">
        <f t="shared" si="12"/>
        <v/>
      </c>
    </row>
    <row r="32" spans="1:69" ht="15.6" x14ac:dyDescent="0.3">
      <c r="A32" s="124" t="s">
        <v>265</v>
      </c>
      <c r="B32" s="397">
        <f>IF(ISBLANK(HLOOKUP($F$25,spelerslijsten!$B$1:$J$22,8,FALSE)),"",HLOOKUP($F$25,spelerslijsten!$B$1:$J$22,8,FALSE))</f>
        <v>4</v>
      </c>
      <c r="C32" s="398"/>
      <c r="D32" s="121"/>
      <c r="E32" s="122" t="str">
        <f>IF(ISBLANK(HLOOKUP($F$25,spelerslijsten!$B$1:$J$22,7,FALSE)),"",HLOOKUP($F$25,spelerslijsten!$B$1:$J$22,7,FALSE))</f>
        <v>Leon Bijker</v>
      </c>
      <c r="F32" s="12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08">
        <f t="shared" si="23"/>
        <v>1</v>
      </c>
      <c r="W32" s="109" t="str">
        <f t="shared" si="24"/>
        <v/>
      </c>
      <c r="X32" s="110" t="str">
        <f t="shared" si="25"/>
        <v/>
      </c>
      <c r="Y32" s="103" t="str">
        <f t="shared" si="26"/>
        <v/>
      </c>
      <c r="Z32" s="111"/>
      <c r="AA32" s="112"/>
      <c r="AB32" s="113" t="str">
        <f t="shared" si="16"/>
        <v>-</v>
      </c>
      <c r="AC32" s="112"/>
      <c r="AD32" s="114"/>
      <c r="AE32" s="115"/>
      <c r="AF32" s="115"/>
      <c r="AG32" s="116"/>
      <c r="AH32" s="117"/>
      <c r="AI32" s="117"/>
      <c r="AJ32" s="342"/>
      <c r="AK32" s="343"/>
      <c r="AL32" s="346"/>
      <c r="AM32" s="347"/>
      <c r="AN32" s="118"/>
      <c r="AO32" s="101" t="str">
        <f t="shared" si="19"/>
        <v/>
      </c>
      <c r="AP32" s="113" t="str">
        <f t="shared" si="20"/>
        <v>-</v>
      </c>
      <c r="AQ32" s="119"/>
      <c r="AR32" s="103" t="str">
        <f t="shared" si="21"/>
        <v/>
      </c>
      <c r="AT32" s="38" t="str">
        <f t="shared" si="27"/>
        <v>B4</v>
      </c>
      <c r="AU32" s="38">
        <f t="shared" si="18"/>
        <v>0</v>
      </c>
      <c r="AY32" s="38" t="str">
        <f t="shared" si="1"/>
        <v/>
      </c>
      <c r="AZ32" s="38" t="str">
        <f t="shared" si="2"/>
        <v>0</v>
      </c>
      <c r="BA32" s="38" t="str">
        <f t="shared" si="3"/>
        <v>0</v>
      </c>
      <c r="BB32" s="38" t="str">
        <f t="shared" si="4"/>
        <v>0</v>
      </c>
      <c r="BC32" s="38">
        <f t="shared" si="5"/>
        <v>0</v>
      </c>
      <c r="BD32" s="38">
        <f t="shared" si="6"/>
        <v>0</v>
      </c>
      <c r="BL32" s="38" t="str">
        <f t="shared" si="7"/>
        <v/>
      </c>
      <c r="BM32" s="38" t="str">
        <f t="shared" si="8"/>
        <v/>
      </c>
      <c r="BN32" s="38" t="str">
        <f t="shared" si="9"/>
        <v/>
      </c>
      <c r="BO32" s="38" t="str">
        <f t="shared" si="10"/>
        <v/>
      </c>
      <c r="BP32" s="38" t="str">
        <f t="shared" si="11"/>
        <v/>
      </c>
      <c r="BQ32" s="38" t="str">
        <f t="shared" si="12"/>
        <v/>
      </c>
    </row>
    <row r="33" spans="1:69" ht="15.6" x14ac:dyDescent="0.3">
      <c r="A33" s="124" t="s">
        <v>265</v>
      </c>
      <c r="B33" s="397">
        <f>IF(ISBLANK(HLOOKUP($F$25,spelerslijsten!$B$1:$J$22,10,FALSE)),"",HLOOKUP($F$25,spelerslijsten!$B$1:$J$22,10,FALSE))</f>
        <v>5</v>
      </c>
      <c r="C33" s="398"/>
      <c r="D33" s="121"/>
      <c r="E33" s="122" t="str">
        <f>IF(ISBLANK(HLOOKUP($F$25,spelerslijsten!$B$1:$J$22,9,FALSE)),"",HLOOKUP($F$25,spelerslijsten!$B$1:$J$22,9,FALSE))</f>
        <v>Noah Hazelhoff</v>
      </c>
      <c r="F33" s="12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08">
        <f t="shared" si="23"/>
        <v>0</v>
      </c>
      <c r="W33" s="109" t="str">
        <f t="shared" si="24"/>
        <v/>
      </c>
      <c r="X33" s="110" t="str">
        <f t="shared" si="25"/>
        <v/>
      </c>
      <c r="Y33" s="103" t="str">
        <f t="shared" si="26"/>
        <v/>
      </c>
      <c r="Z33" s="111"/>
      <c r="AA33" s="112"/>
      <c r="AB33" s="113" t="str">
        <f t="shared" si="16"/>
        <v>-</v>
      </c>
      <c r="AC33" s="112"/>
      <c r="AD33" s="114"/>
      <c r="AE33" s="115"/>
      <c r="AF33" s="115"/>
      <c r="AG33" s="116"/>
      <c r="AH33" s="117"/>
      <c r="AI33" s="117"/>
      <c r="AJ33" s="342"/>
      <c r="AK33" s="343"/>
      <c r="AL33" s="346"/>
      <c r="AM33" s="347"/>
      <c r="AN33" s="118"/>
      <c r="AO33" s="101" t="str">
        <f t="shared" si="19"/>
        <v/>
      </c>
      <c r="AP33" s="113" t="str">
        <f t="shared" si="20"/>
        <v>-</v>
      </c>
      <c r="AQ33" s="119"/>
      <c r="AR33" s="103" t="str">
        <f t="shared" si="21"/>
        <v/>
      </c>
      <c r="AT33" s="38" t="str">
        <f t="shared" si="27"/>
        <v>B5</v>
      </c>
      <c r="AU33" s="38">
        <f t="shared" si="18"/>
        <v>0</v>
      </c>
      <c r="AY33" s="38" t="str">
        <f t="shared" si="1"/>
        <v/>
      </c>
      <c r="AZ33" s="38" t="str">
        <f t="shared" si="2"/>
        <v>0</v>
      </c>
      <c r="BA33" s="38" t="str">
        <f t="shared" si="3"/>
        <v>0</v>
      </c>
      <c r="BB33" s="38" t="str">
        <f t="shared" si="4"/>
        <v>0</v>
      </c>
      <c r="BC33" s="38">
        <f t="shared" si="5"/>
        <v>0</v>
      </c>
      <c r="BD33" s="38">
        <f t="shared" si="6"/>
        <v>0</v>
      </c>
      <c r="BL33" s="38" t="str">
        <f t="shared" si="7"/>
        <v/>
      </c>
      <c r="BM33" s="38" t="str">
        <f t="shared" si="8"/>
        <v/>
      </c>
      <c r="BN33" s="38" t="str">
        <f t="shared" si="9"/>
        <v/>
      </c>
      <c r="BO33" s="38" t="str">
        <f t="shared" si="10"/>
        <v/>
      </c>
      <c r="BP33" s="38" t="str">
        <f t="shared" si="11"/>
        <v/>
      </c>
      <c r="BQ33" s="38" t="str">
        <f t="shared" si="12"/>
        <v/>
      </c>
    </row>
    <row r="34" spans="1:69" ht="15.6" x14ac:dyDescent="0.3">
      <c r="A34" s="124" t="s">
        <v>265</v>
      </c>
      <c r="B34" s="397">
        <f>IF(ISBLANK(HLOOKUP($F$25,spelerslijsten!$B$1:$J$22,12,FALSE)),"",HLOOKUP($F$25,spelerslijsten!$B$1:$J$22,12,FALSE))</f>
        <v>6</v>
      </c>
      <c r="C34" s="398"/>
      <c r="D34" s="121"/>
      <c r="E34" s="122" t="str">
        <f>IF(ISBLANK(HLOOKUP($F$25,spelerslijsten!$B$1:$J$22,11,FALSE)),"",HLOOKUP($F$25,spelerslijsten!$B$1:$J$22,11,FALSE))</f>
        <v>Joran van Achteren</v>
      </c>
      <c r="F34" s="12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08">
        <f t="shared" si="23"/>
        <v>1</v>
      </c>
      <c r="W34" s="109" t="str">
        <f t="shared" si="24"/>
        <v/>
      </c>
      <c r="X34" s="110" t="str">
        <f t="shared" si="25"/>
        <v/>
      </c>
      <c r="Y34" s="103" t="str">
        <f t="shared" si="26"/>
        <v/>
      </c>
      <c r="Z34" s="111"/>
      <c r="AA34" s="112"/>
      <c r="AB34" s="113" t="str">
        <f t="shared" si="16"/>
        <v>-</v>
      </c>
      <c r="AC34" s="112"/>
      <c r="AD34" s="114"/>
      <c r="AE34" s="115"/>
      <c r="AF34" s="115"/>
      <c r="AG34" s="116"/>
      <c r="AH34" s="117"/>
      <c r="AI34" s="117"/>
      <c r="AJ34" s="342"/>
      <c r="AK34" s="343"/>
      <c r="AL34" s="346"/>
      <c r="AM34" s="347"/>
      <c r="AN34" s="118"/>
      <c r="AO34" s="101" t="str">
        <f t="shared" si="19"/>
        <v/>
      </c>
      <c r="AP34" s="113" t="str">
        <f t="shared" si="20"/>
        <v>-</v>
      </c>
      <c r="AQ34" s="119"/>
      <c r="AR34" s="103" t="str">
        <f t="shared" si="21"/>
        <v/>
      </c>
      <c r="AT34" s="38" t="str">
        <f t="shared" si="27"/>
        <v>B6</v>
      </c>
      <c r="AU34" s="38">
        <f t="shared" si="18"/>
        <v>0</v>
      </c>
      <c r="AY34" s="38" t="str">
        <f t="shared" si="1"/>
        <v/>
      </c>
      <c r="AZ34" s="38" t="str">
        <f t="shared" si="2"/>
        <v>0</v>
      </c>
      <c r="BA34" s="38" t="str">
        <f t="shared" si="3"/>
        <v>0</v>
      </c>
      <c r="BB34" s="38" t="str">
        <f t="shared" si="4"/>
        <v>0</v>
      </c>
      <c r="BC34" s="38">
        <f t="shared" si="5"/>
        <v>0</v>
      </c>
      <c r="BD34" s="38">
        <f t="shared" si="6"/>
        <v>0</v>
      </c>
      <c r="BL34" s="38" t="str">
        <f t="shared" si="7"/>
        <v/>
      </c>
      <c r="BM34" s="38" t="str">
        <f t="shared" si="8"/>
        <v/>
      </c>
      <c r="BN34" s="38" t="str">
        <f t="shared" si="9"/>
        <v/>
      </c>
      <c r="BO34" s="38" t="str">
        <f t="shared" si="10"/>
        <v/>
      </c>
      <c r="BP34" s="38" t="str">
        <f t="shared" si="11"/>
        <v/>
      </c>
      <c r="BQ34" s="38" t="str">
        <f t="shared" si="12"/>
        <v/>
      </c>
    </row>
    <row r="35" spans="1:69" ht="15.6" x14ac:dyDescent="0.3">
      <c r="A35" s="124"/>
      <c r="B35" s="397">
        <f>IF(ISBLANK(HLOOKUP($F$25,spelerslijsten!$B$1:$J$22,14,FALSE)),"",HLOOKUP($F$25,spelerslijsten!$B$1:$J$22,14,FALSE))</f>
        <v>7</v>
      </c>
      <c r="C35" s="398"/>
      <c r="D35" s="121"/>
      <c r="E35" s="122" t="str">
        <f>IF(ISBLANK(HLOOKUP($F$25,spelerslijsten!$B$1:$J$22,13,FALSE)),"",HLOOKUP($F$25,spelerslijsten!$B$1:$J$22,13,FALSE))</f>
        <v>Maiker Arends</v>
      </c>
      <c r="F35" s="12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08">
        <f t="shared" si="23"/>
        <v>0</v>
      </c>
      <c r="W35" s="109" t="str">
        <f t="shared" si="24"/>
        <v/>
      </c>
      <c r="X35" s="110" t="str">
        <f t="shared" si="25"/>
        <v/>
      </c>
      <c r="Y35" s="103" t="str">
        <f t="shared" si="26"/>
        <v/>
      </c>
      <c r="Z35" s="111"/>
      <c r="AA35" s="112"/>
      <c r="AB35" s="113" t="str">
        <f t="shared" si="16"/>
        <v>-</v>
      </c>
      <c r="AC35" s="112"/>
      <c r="AD35" s="114"/>
      <c r="AE35" s="115"/>
      <c r="AF35" s="115"/>
      <c r="AG35" s="116"/>
      <c r="AH35" s="117"/>
      <c r="AI35" s="117"/>
      <c r="AJ35" s="342"/>
      <c r="AK35" s="343"/>
      <c r="AL35" s="346"/>
      <c r="AM35" s="347"/>
      <c r="AN35" s="118"/>
      <c r="AO35" s="101" t="str">
        <f t="shared" si="19"/>
        <v/>
      </c>
      <c r="AP35" s="113" t="str">
        <f t="shared" si="20"/>
        <v>-</v>
      </c>
      <c r="AQ35" s="119"/>
      <c r="AR35" s="103" t="str">
        <f t="shared" si="21"/>
        <v/>
      </c>
      <c r="AT35" s="38" t="str">
        <f t="shared" si="27"/>
        <v>B7</v>
      </c>
      <c r="AU35" s="38">
        <f t="shared" si="18"/>
        <v>0</v>
      </c>
      <c r="AY35" s="38" t="str">
        <f t="shared" si="1"/>
        <v/>
      </c>
      <c r="AZ35" s="38" t="str">
        <f t="shared" si="2"/>
        <v>0</v>
      </c>
      <c r="BA35" s="38" t="str">
        <f t="shared" si="3"/>
        <v>0</v>
      </c>
      <c r="BB35" s="38" t="str">
        <f t="shared" si="4"/>
        <v>0</v>
      </c>
      <c r="BC35" s="38">
        <f t="shared" si="5"/>
        <v>0</v>
      </c>
      <c r="BD35" s="38">
        <f t="shared" si="6"/>
        <v>0</v>
      </c>
      <c r="BL35" s="38" t="str">
        <f t="shared" si="7"/>
        <v/>
      </c>
      <c r="BM35" s="38" t="str">
        <f t="shared" si="8"/>
        <v/>
      </c>
      <c r="BN35" s="38" t="str">
        <f t="shared" si="9"/>
        <v/>
      </c>
      <c r="BO35" s="38" t="str">
        <f t="shared" si="10"/>
        <v/>
      </c>
      <c r="BP35" s="38" t="str">
        <f t="shared" si="11"/>
        <v/>
      </c>
      <c r="BQ35" s="38" t="str">
        <f t="shared" si="12"/>
        <v/>
      </c>
    </row>
    <row r="36" spans="1:69" ht="15.6" x14ac:dyDescent="0.3">
      <c r="A36" s="124"/>
      <c r="B36" s="397">
        <f>IF(ISBLANK(HLOOKUP($F$25,spelerslijsten!$B$1:$J$22,16,FALSE)),"",HLOOKUP($F$25,spelerslijsten!$B$1:$J$22,16,FALSE))</f>
        <v>9</v>
      </c>
      <c r="C36" s="398"/>
      <c r="D36" s="121"/>
      <c r="E36" s="122" t="str">
        <f>IF(ISBLANK(HLOOKUP($F$25,spelerslijsten!$B$1:$J$22,15,FALSE)),"",HLOOKUP($F$25,spelerslijsten!$B$1:$J$22,15,FALSE))</f>
        <v>Wouter van Schip</v>
      </c>
      <c r="F36" s="12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08">
        <f t="shared" si="23"/>
        <v>0</v>
      </c>
      <c r="W36" s="109" t="str">
        <f t="shared" si="24"/>
        <v/>
      </c>
      <c r="X36" s="110" t="str">
        <f t="shared" si="25"/>
        <v/>
      </c>
      <c r="Y36" s="103" t="str">
        <f t="shared" si="26"/>
        <v/>
      </c>
      <c r="Z36" s="111"/>
      <c r="AA36" s="112"/>
      <c r="AB36" s="113" t="str">
        <f t="shared" si="16"/>
        <v>-</v>
      </c>
      <c r="AC36" s="112"/>
      <c r="AD36" s="114"/>
      <c r="AE36" s="115"/>
      <c r="AF36" s="115"/>
      <c r="AG36" s="116"/>
      <c r="AH36" s="117"/>
      <c r="AI36" s="117"/>
      <c r="AJ36" s="342"/>
      <c r="AK36" s="343"/>
      <c r="AL36" s="346"/>
      <c r="AM36" s="347"/>
      <c r="AN36" s="118"/>
      <c r="AO36" s="101" t="str">
        <f t="shared" si="19"/>
        <v/>
      </c>
      <c r="AP36" s="113" t="str">
        <f t="shared" si="20"/>
        <v>-</v>
      </c>
      <c r="AQ36" s="119"/>
      <c r="AR36" s="103" t="str">
        <f t="shared" si="21"/>
        <v/>
      </c>
      <c r="AT36" s="38" t="str">
        <f t="shared" si="27"/>
        <v>B9</v>
      </c>
      <c r="AU36" s="38">
        <f t="shared" si="18"/>
        <v>0</v>
      </c>
      <c r="AY36" s="38" t="str">
        <f t="shared" si="1"/>
        <v/>
      </c>
      <c r="AZ36" s="38" t="str">
        <f t="shared" si="2"/>
        <v>0</v>
      </c>
      <c r="BA36" s="38" t="str">
        <f t="shared" si="3"/>
        <v>0</v>
      </c>
      <c r="BB36" s="38" t="str">
        <f t="shared" si="4"/>
        <v>0</v>
      </c>
      <c r="BC36" s="38">
        <f t="shared" si="5"/>
        <v>0</v>
      </c>
      <c r="BD36" s="38">
        <f t="shared" si="6"/>
        <v>0</v>
      </c>
      <c r="BL36" s="38" t="str">
        <f t="shared" si="7"/>
        <v/>
      </c>
      <c r="BM36" s="38" t="str">
        <f t="shared" si="8"/>
        <v/>
      </c>
      <c r="BN36" s="38" t="str">
        <f t="shared" si="9"/>
        <v/>
      </c>
      <c r="BO36" s="38" t="str">
        <f t="shared" si="10"/>
        <v/>
      </c>
      <c r="BP36" s="38" t="str">
        <f t="shared" si="11"/>
        <v/>
      </c>
      <c r="BQ36" s="38" t="str">
        <f t="shared" si="12"/>
        <v/>
      </c>
    </row>
    <row r="37" spans="1:69" ht="15.6" x14ac:dyDescent="0.3">
      <c r="A37" s="124" t="s">
        <v>265</v>
      </c>
      <c r="B37" s="397">
        <f>IF(ISBLANK(HLOOKUP($F$25,spelerslijsten!$B$1:$J$22,18,FALSE)),"",HLOOKUP($F$25,spelerslijsten!$B$1:$J$22,18,FALSE))</f>
        <v>10</v>
      </c>
      <c r="C37" s="398"/>
      <c r="D37" s="121"/>
      <c r="E37" s="122" t="str">
        <f>IF(ISBLANK(HLOOKUP($F$25,spelerslijsten!$B$1:$J$22,17,FALSE)),"",HLOOKUP($F$25,spelerslijsten!$B$1:$J$22,17,FALSE))</f>
        <v>Bianca Verbeek</v>
      </c>
      <c r="F37" s="12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08">
        <f t="shared" si="23"/>
        <v>0</v>
      </c>
      <c r="W37" s="109" t="str">
        <f t="shared" si="24"/>
        <v/>
      </c>
      <c r="X37" s="110" t="str">
        <f t="shared" si="25"/>
        <v/>
      </c>
      <c r="Y37" s="103" t="str">
        <f t="shared" si="26"/>
        <v/>
      </c>
      <c r="Z37" s="111"/>
      <c r="AA37" s="112"/>
      <c r="AB37" s="113" t="str">
        <f t="shared" si="16"/>
        <v>-</v>
      </c>
      <c r="AC37" s="112"/>
      <c r="AD37" s="114"/>
      <c r="AE37" s="115"/>
      <c r="AF37" s="115"/>
      <c r="AG37" s="116"/>
      <c r="AH37" s="117"/>
      <c r="AI37" s="117"/>
      <c r="AJ37" s="342"/>
      <c r="AK37" s="343"/>
      <c r="AL37" s="346"/>
      <c r="AM37" s="347"/>
      <c r="AN37" s="118"/>
      <c r="AO37" s="101" t="str">
        <f t="shared" si="19"/>
        <v/>
      </c>
      <c r="AP37" s="113" t="str">
        <f t="shared" si="20"/>
        <v>-</v>
      </c>
      <c r="AQ37" s="119"/>
      <c r="AR37" s="103" t="str">
        <f t="shared" si="21"/>
        <v/>
      </c>
      <c r="AT37" s="38" t="str">
        <f t="shared" si="27"/>
        <v>B10</v>
      </c>
      <c r="AU37" s="38">
        <f t="shared" si="18"/>
        <v>0</v>
      </c>
      <c r="AY37" s="38" t="str">
        <f t="shared" si="1"/>
        <v/>
      </c>
      <c r="AZ37" s="38" t="str">
        <f t="shared" si="2"/>
        <v>0</v>
      </c>
      <c r="BA37" s="38" t="str">
        <f t="shared" si="3"/>
        <v>0</v>
      </c>
      <c r="BB37" s="38" t="str">
        <f t="shared" si="4"/>
        <v>0</v>
      </c>
      <c r="BC37" s="38">
        <f t="shared" si="5"/>
        <v>0</v>
      </c>
      <c r="BD37" s="38">
        <f t="shared" si="6"/>
        <v>0</v>
      </c>
      <c r="BL37" s="38" t="str">
        <f t="shared" si="7"/>
        <v/>
      </c>
      <c r="BM37" s="38" t="str">
        <f t="shared" si="8"/>
        <v/>
      </c>
      <c r="BN37" s="38" t="str">
        <f t="shared" si="9"/>
        <v/>
      </c>
      <c r="BO37" s="38" t="str">
        <f t="shared" si="10"/>
        <v/>
      </c>
      <c r="BP37" s="38" t="str">
        <f t="shared" si="11"/>
        <v/>
      </c>
      <c r="BQ37" s="38" t="str">
        <f t="shared" si="12"/>
        <v/>
      </c>
    </row>
    <row r="38" spans="1:69" ht="15.6" x14ac:dyDescent="0.3">
      <c r="A38" s="124"/>
      <c r="B38" s="397" t="str">
        <f>IF(ISBLANK(HLOOKUP($F$25,spelerslijsten!$B$1:$J$22,20,FALSE)),"",HLOOKUP($F$25,spelerslijsten!$B$1:$J$22,20,FALSE))</f>
        <v/>
      </c>
      <c r="C38" s="398"/>
      <c r="D38" s="121"/>
      <c r="E38" s="122" t="str">
        <f>IF(ISBLANK(HLOOKUP($F$25,spelerslijsten!$B$1:$J$22,19,FALSE)),"",HLOOKUP($F$25,spelerslijsten!$B$1:$J$22,19,FALSE))</f>
        <v/>
      </c>
      <c r="F38" s="12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08">
        <f t="shared" si="23"/>
        <v>0</v>
      </c>
      <c r="W38" s="109" t="str">
        <f t="shared" si="24"/>
        <v/>
      </c>
      <c r="X38" s="110" t="str">
        <f t="shared" si="25"/>
        <v/>
      </c>
      <c r="Y38" s="103" t="str">
        <f t="shared" si="26"/>
        <v/>
      </c>
      <c r="Z38" s="111"/>
      <c r="AA38" s="112"/>
      <c r="AB38" s="113" t="str">
        <f t="shared" si="16"/>
        <v>-</v>
      </c>
      <c r="AC38" s="112"/>
      <c r="AD38" s="114"/>
      <c r="AE38" s="115"/>
      <c r="AF38" s="115"/>
      <c r="AG38" s="116"/>
      <c r="AH38" s="117"/>
      <c r="AI38" s="117"/>
      <c r="AJ38" s="342"/>
      <c r="AK38" s="343"/>
      <c r="AL38" s="346"/>
      <c r="AM38" s="347"/>
      <c r="AN38" s="118"/>
      <c r="AO38" s="101" t="str">
        <f t="shared" si="19"/>
        <v/>
      </c>
      <c r="AP38" s="113" t="str">
        <f t="shared" si="20"/>
        <v>-</v>
      </c>
      <c r="AQ38" s="119"/>
      <c r="AR38" s="103" t="str">
        <f t="shared" si="21"/>
        <v/>
      </c>
      <c r="AT38" s="38" t="str">
        <f t="shared" si="27"/>
        <v>B</v>
      </c>
      <c r="AU38" s="38">
        <f t="shared" si="18"/>
        <v>0</v>
      </c>
      <c r="AY38" s="38" t="str">
        <f t="shared" si="1"/>
        <v/>
      </c>
      <c r="AZ38" s="38" t="str">
        <f t="shared" si="2"/>
        <v>0</v>
      </c>
      <c r="BA38" s="38" t="str">
        <f t="shared" si="3"/>
        <v>0</v>
      </c>
      <c r="BB38" s="38" t="str">
        <f t="shared" si="4"/>
        <v>0</v>
      </c>
      <c r="BC38" s="38">
        <f t="shared" si="5"/>
        <v>0</v>
      </c>
      <c r="BD38" s="38">
        <f t="shared" si="6"/>
        <v>0</v>
      </c>
      <c r="BL38" s="38" t="str">
        <f t="shared" si="7"/>
        <v/>
      </c>
      <c r="BM38" s="38" t="str">
        <f t="shared" si="8"/>
        <v/>
      </c>
      <c r="BN38" s="38" t="str">
        <f t="shared" si="9"/>
        <v/>
      </c>
      <c r="BO38" s="38" t="str">
        <f t="shared" si="10"/>
        <v/>
      </c>
      <c r="BP38" s="38" t="str">
        <f t="shared" si="11"/>
        <v/>
      </c>
      <c r="BQ38" s="38" t="str">
        <f t="shared" si="12"/>
        <v/>
      </c>
    </row>
    <row r="39" spans="1:69" ht="15.6" x14ac:dyDescent="0.3">
      <c r="A39" s="125"/>
      <c r="B39" s="397" t="str">
        <f>IF(ISBLANK(HLOOKUP($F$25,spelerslijsten!$B$1:$J$22,22,FALSE)),"",HLOOKUP($F$25,spelerslijsten!$B$1:$J$22,22,FALSE))</f>
        <v/>
      </c>
      <c r="C39" s="398"/>
      <c r="D39" s="126"/>
      <c r="E39" s="259" t="str">
        <f>IF(ISBLANK(HLOOKUP($F$25,spelerslijsten!$B$1:$J$22,21,FALSE)),"",HLOOKUP($F$25,spelerslijsten!$B$1:$J$22,21,FALSE))</f>
        <v/>
      </c>
      <c r="F39" s="126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08">
        <f t="shared" si="23"/>
        <v>0</v>
      </c>
      <c r="W39" s="109" t="str">
        <f t="shared" si="24"/>
        <v/>
      </c>
      <c r="X39" s="110" t="str">
        <f t="shared" si="25"/>
        <v/>
      </c>
      <c r="Y39" s="103" t="str">
        <f t="shared" si="26"/>
        <v/>
      </c>
      <c r="Z39" s="111"/>
      <c r="AA39" s="112"/>
      <c r="AB39" s="113" t="str">
        <f t="shared" si="16"/>
        <v>-</v>
      </c>
      <c r="AC39" s="112"/>
      <c r="AD39" s="114"/>
      <c r="AE39" s="115"/>
      <c r="AF39" s="115"/>
      <c r="AG39" s="116"/>
      <c r="AH39" s="117"/>
      <c r="AI39" s="117"/>
      <c r="AJ39" s="342"/>
      <c r="AK39" s="343"/>
      <c r="AL39" s="346"/>
      <c r="AM39" s="347"/>
      <c r="AN39" s="118"/>
      <c r="AO39" s="101" t="str">
        <f t="shared" si="19"/>
        <v/>
      </c>
      <c r="AP39" s="113" t="str">
        <f t="shared" si="20"/>
        <v>-</v>
      </c>
      <c r="AQ39" s="119"/>
      <c r="AR39" s="103" t="str">
        <f t="shared" si="21"/>
        <v/>
      </c>
      <c r="AT39" s="38" t="str">
        <f t="shared" si="27"/>
        <v>B</v>
      </c>
      <c r="AU39" s="38">
        <f t="shared" si="18"/>
        <v>0</v>
      </c>
      <c r="AY39" s="38" t="str">
        <f t="shared" si="1"/>
        <v/>
      </c>
      <c r="AZ39" s="38" t="str">
        <f t="shared" si="2"/>
        <v>0</v>
      </c>
      <c r="BA39" s="38" t="str">
        <f t="shared" si="3"/>
        <v>0</v>
      </c>
      <c r="BB39" s="38" t="str">
        <f t="shared" si="4"/>
        <v>0</v>
      </c>
      <c r="BC39" s="38">
        <f t="shared" si="5"/>
        <v>0</v>
      </c>
      <c r="BD39" s="38">
        <f t="shared" si="6"/>
        <v>0</v>
      </c>
      <c r="BL39" s="38" t="str">
        <f t="shared" si="7"/>
        <v/>
      </c>
      <c r="BM39" s="38" t="str">
        <f t="shared" si="8"/>
        <v/>
      </c>
      <c r="BN39" s="38" t="str">
        <f t="shared" si="9"/>
        <v/>
      </c>
      <c r="BO39" s="38" t="str">
        <f t="shared" si="10"/>
        <v/>
      </c>
      <c r="BP39" s="38" t="str">
        <f t="shared" si="11"/>
        <v/>
      </c>
      <c r="BQ39" s="38" t="str">
        <f t="shared" si="12"/>
        <v/>
      </c>
    </row>
    <row r="40" spans="1:69" ht="16.2" thickBot="1" x14ac:dyDescent="0.35">
      <c r="A40" s="71" t="s">
        <v>67</v>
      </c>
      <c r="B40" s="72"/>
      <c r="C40" s="72"/>
      <c r="D40" s="72"/>
      <c r="E40" s="72"/>
      <c r="F40" s="72"/>
      <c r="G40" s="72"/>
      <c r="H40" s="72"/>
      <c r="I40" s="399">
        <f>HLOOKUP(F25,spelerslijsten!B1:J25,25,FALSE)</f>
        <v>0</v>
      </c>
      <c r="J40" s="400"/>
      <c r="K40" s="74" t="s">
        <v>23</v>
      </c>
      <c r="L40" s="72"/>
      <c r="M40" s="72"/>
      <c r="N40" s="129" t="str">
        <f>HLOOKUP(F25,spelerslijsten!B1:J25,23,FALSE)</f>
        <v>Natascha Magrie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30"/>
      <c r="Z40" s="111"/>
      <c r="AA40" s="112"/>
      <c r="AB40" s="113" t="str">
        <f t="shared" si="16"/>
        <v>-</v>
      </c>
      <c r="AC40" s="112"/>
      <c r="AD40" s="114"/>
      <c r="AE40" s="115"/>
      <c r="AF40" s="115"/>
      <c r="AG40" s="116"/>
      <c r="AH40" s="117"/>
      <c r="AI40" s="117"/>
      <c r="AJ40" s="342"/>
      <c r="AK40" s="343"/>
      <c r="AL40" s="346"/>
      <c r="AM40" s="347"/>
      <c r="AN40" s="118"/>
      <c r="AO40" s="101" t="str">
        <f t="shared" si="19"/>
        <v/>
      </c>
      <c r="AP40" s="113" t="str">
        <f t="shared" si="20"/>
        <v>-</v>
      </c>
      <c r="AQ40" s="119"/>
      <c r="AR40" s="103" t="str">
        <f t="shared" si="21"/>
        <v/>
      </c>
      <c r="AY40" s="38" t="str">
        <f t="shared" si="1"/>
        <v/>
      </c>
      <c r="AZ40" s="38" t="str">
        <f t="shared" si="2"/>
        <v>0</v>
      </c>
      <c r="BA40" s="38" t="str">
        <f t="shared" si="3"/>
        <v>0</v>
      </c>
      <c r="BB40" s="38" t="str">
        <f t="shared" si="4"/>
        <v>0</v>
      </c>
      <c r="BC40" s="38">
        <f t="shared" si="5"/>
        <v>0</v>
      </c>
      <c r="BD40" s="38">
        <f t="shared" si="6"/>
        <v>0</v>
      </c>
      <c r="BL40" s="38" t="str">
        <f t="shared" si="7"/>
        <v/>
      </c>
      <c r="BM40" s="38" t="str">
        <f t="shared" si="8"/>
        <v/>
      </c>
      <c r="BN40" s="38" t="str">
        <f t="shared" si="9"/>
        <v/>
      </c>
      <c r="BO40" s="38" t="str">
        <f t="shared" si="10"/>
        <v/>
      </c>
      <c r="BP40" s="38" t="str">
        <f t="shared" si="11"/>
        <v/>
      </c>
      <c r="BQ40" s="38" t="str">
        <f t="shared" si="12"/>
        <v/>
      </c>
    </row>
    <row r="41" spans="1:69" ht="15.6" x14ac:dyDescent="0.3">
      <c r="A41" s="157" t="s">
        <v>68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158"/>
      <c r="Z41" s="111"/>
      <c r="AA41" s="112"/>
      <c r="AB41" s="113" t="str">
        <f t="shared" si="16"/>
        <v>-</v>
      </c>
      <c r="AC41" s="112"/>
      <c r="AD41" s="114"/>
      <c r="AE41" s="115"/>
      <c r="AF41" s="115"/>
      <c r="AG41" s="116"/>
      <c r="AH41" s="117"/>
      <c r="AI41" s="117"/>
      <c r="AJ41" s="342"/>
      <c r="AK41" s="343"/>
      <c r="AL41" s="346"/>
      <c r="AM41" s="347"/>
      <c r="AN41" s="118"/>
      <c r="AO41" s="101" t="str">
        <f t="shared" si="19"/>
        <v/>
      </c>
      <c r="AP41" s="113" t="str">
        <f t="shared" si="20"/>
        <v>-</v>
      </c>
      <c r="AQ41" s="119"/>
      <c r="AR41" s="103" t="str">
        <f t="shared" si="21"/>
        <v/>
      </c>
      <c r="AY41" s="38" t="str">
        <f t="shared" si="1"/>
        <v/>
      </c>
      <c r="AZ41" s="38" t="str">
        <f t="shared" si="2"/>
        <v>0</v>
      </c>
      <c r="BA41" s="38" t="str">
        <f t="shared" si="3"/>
        <v>0</v>
      </c>
      <c r="BB41" s="38" t="str">
        <f t="shared" si="4"/>
        <v>0</v>
      </c>
      <c r="BC41" s="38">
        <f t="shared" si="5"/>
        <v>0</v>
      </c>
      <c r="BD41" s="38">
        <f t="shared" si="6"/>
        <v>0</v>
      </c>
      <c r="BL41" s="38" t="str">
        <f t="shared" si="7"/>
        <v/>
      </c>
      <c r="BM41" s="38" t="str">
        <f t="shared" si="8"/>
        <v/>
      </c>
      <c r="BN41" s="38" t="str">
        <f t="shared" si="9"/>
        <v/>
      </c>
      <c r="BO41" s="38" t="str">
        <f t="shared" si="10"/>
        <v/>
      </c>
      <c r="BP41" s="38" t="str">
        <f t="shared" si="11"/>
        <v/>
      </c>
      <c r="BQ41" s="38" t="str">
        <f t="shared" si="12"/>
        <v/>
      </c>
    </row>
    <row r="42" spans="1:69" ht="15.6" x14ac:dyDescent="0.3">
      <c r="A42" s="15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60"/>
      <c r="Z42" s="111"/>
      <c r="AA42" s="112"/>
      <c r="AB42" s="113" t="str">
        <f t="shared" si="16"/>
        <v>-</v>
      </c>
      <c r="AC42" s="112"/>
      <c r="AD42" s="114"/>
      <c r="AE42" s="115"/>
      <c r="AF42" s="115"/>
      <c r="AG42" s="116"/>
      <c r="AH42" s="117"/>
      <c r="AI42" s="117"/>
      <c r="AJ42" s="342"/>
      <c r="AK42" s="343"/>
      <c r="AL42" s="346"/>
      <c r="AM42" s="347"/>
      <c r="AN42" s="118"/>
      <c r="AO42" s="101" t="str">
        <f t="shared" si="19"/>
        <v/>
      </c>
      <c r="AP42" s="113" t="str">
        <f t="shared" si="20"/>
        <v>-</v>
      </c>
      <c r="AQ42" s="119"/>
      <c r="AR42" s="103" t="str">
        <f t="shared" si="21"/>
        <v/>
      </c>
      <c r="AY42" s="38" t="str">
        <f t="shared" si="1"/>
        <v/>
      </c>
      <c r="AZ42" s="38" t="str">
        <f t="shared" si="2"/>
        <v>0</v>
      </c>
      <c r="BA42" s="38" t="str">
        <f t="shared" si="3"/>
        <v>0</v>
      </c>
      <c r="BB42" s="38" t="str">
        <f t="shared" si="4"/>
        <v>0</v>
      </c>
      <c r="BC42" s="38">
        <f t="shared" si="5"/>
        <v>0</v>
      </c>
      <c r="BD42" s="38">
        <f t="shared" si="6"/>
        <v>0</v>
      </c>
      <c r="BL42" s="38" t="str">
        <f t="shared" si="7"/>
        <v/>
      </c>
      <c r="BM42" s="38" t="str">
        <f t="shared" si="8"/>
        <v/>
      </c>
      <c r="BN42" s="38" t="str">
        <f t="shared" si="9"/>
        <v/>
      </c>
      <c r="BO42" s="38" t="str">
        <f t="shared" si="10"/>
        <v/>
      </c>
      <c r="BP42" s="38" t="str">
        <f t="shared" si="11"/>
        <v/>
      </c>
      <c r="BQ42" s="38" t="str">
        <f t="shared" si="12"/>
        <v/>
      </c>
    </row>
    <row r="43" spans="1:69" ht="15.6" x14ac:dyDescent="0.3">
      <c r="A43" s="16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62"/>
      <c r="Z43" s="111"/>
      <c r="AA43" s="112"/>
      <c r="AB43" s="113" t="str">
        <f t="shared" si="16"/>
        <v>-</v>
      </c>
      <c r="AC43" s="112"/>
      <c r="AD43" s="114"/>
      <c r="AE43" s="115"/>
      <c r="AF43" s="115"/>
      <c r="AG43" s="116"/>
      <c r="AH43" s="117"/>
      <c r="AI43" s="117"/>
      <c r="AJ43" s="342"/>
      <c r="AK43" s="343"/>
      <c r="AL43" s="346"/>
      <c r="AM43" s="347"/>
      <c r="AN43" s="118"/>
      <c r="AO43" s="101" t="str">
        <f t="shared" si="19"/>
        <v/>
      </c>
      <c r="AP43" s="113" t="str">
        <f t="shared" si="20"/>
        <v>-</v>
      </c>
      <c r="AQ43" s="119"/>
      <c r="AR43" s="103" t="str">
        <f t="shared" si="21"/>
        <v/>
      </c>
      <c r="AY43" s="38" t="str">
        <f t="shared" si="1"/>
        <v/>
      </c>
      <c r="AZ43" s="38" t="str">
        <f t="shared" si="2"/>
        <v>0</v>
      </c>
      <c r="BA43" s="38" t="str">
        <f t="shared" si="3"/>
        <v>0</v>
      </c>
      <c r="BB43" s="38" t="str">
        <f t="shared" si="4"/>
        <v>0</v>
      </c>
      <c r="BC43" s="38">
        <f t="shared" si="5"/>
        <v>0</v>
      </c>
      <c r="BD43" s="38">
        <f t="shared" si="6"/>
        <v>0</v>
      </c>
      <c r="BL43" s="38" t="str">
        <f t="shared" si="7"/>
        <v/>
      </c>
      <c r="BM43" s="38" t="str">
        <f t="shared" si="8"/>
        <v/>
      </c>
      <c r="BN43" s="38" t="str">
        <f t="shared" si="9"/>
        <v/>
      </c>
      <c r="BO43" s="38" t="str">
        <f t="shared" si="10"/>
        <v/>
      </c>
      <c r="BP43" s="38" t="str">
        <f t="shared" si="11"/>
        <v/>
      </c>
      <c r="BQ43" s="38" t="str">
        <f t="shared" si="12"/>
        <v/>
      </c>
    </row>
    <row r="44" spans="1:69" ht="15.6" x14ac:dyDescent="0.3">
      <c r="A44" s="16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62"/>
      <c r="Z44" s="111"/>
      <c r="AA44" s="112"/>
      <c r="AB44" s="113" t="str">
        <f t="shared" si="16"/>
        <v>-</v>
      </c>
      <c r="AC44" s="112"/>
      <c r="AD44" s="114"/>
      <c r="AE44" s="115"/>
      <c r="AF44" s="115"/>
      <c r="AG44" s="116"/>
      <c r="AH44" s="117"/>
      <c r="AI44" s="117"/>
      <c r="AJ44" s="342"/>
      <c r="AK44" s="343"/>
      <c r="AL44" s="346"/>
      <c r="AM44" s="347"/>
      <c r="AN44" s="118"/>
      <c r="AO44" s="101" t="str">
        <f t="shared" si="19"/>
        <v/>
      </c>
      <c r="AP44" s="113" t="str">
        <f t="shared" si="20"/>
        <v>-</v>
      </c>
      <c r="AQ44" s="119"/>
      <c r="AR44" s="103" t="str">
        <f t="shared" si="21"/>
        <v/>
      </c>
      <c r="AY44" s="38" t="str">
        <f t="shared" si="1"/>
        <v/>
      </c>
      <c r="AZ44" s="38" t="str">
        <f t="shared" si="2"/>
        <v>0</v>
      </c>
      <c r="BA44" s="38" t="str">
        <f t="shared" si="3"/>
        <v>0</v>
      </c>
      <c r="BB44" s="38" t="str">
        <f t="shared" si="4"/>
        <v>0</v>
      </c>
      <c r="BC44" s="38">
        <f t="shared" si="5"/>
        <v>0</v>
      </c>
      <c r="BD44" s="38">
        <f t="shared" si="6"/>
        <v>0</v>
      </c>
      <c r="BL44" s="38" t="str">
        <f t="shared" si="7"/>
        <v/>
      </c>
      <c r="BM44" s="38" t="str">
        <f t="shared" si="8"/>
        <v/>
      </c>
      <c r="BN44" s="38" t="str">
        <f t="shared" si="9"/>
        <v/>
      </c>
      <c r="BO44" s="38" t="str">
        <f t="shared" si="10"/>
        <v/>
      </c>
      <c r="BP44" s="38" t="str">
        <f t="shared" si="11"/>
        <v/>
      </c>
      <c r="BQ44" s="38" t="str">
        <f t="shared" si="12"/>
        <v/>
      </c>
    </row>
    <row r="45" spans="1:69" ht="15.6" x14ac:dyDescent="0.3">
      <c r="A45" s="16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62"/>
      <c r="Z45" s="111"/>
      <c r="AA45" s="112"/>
      <c r="AB45" s="113" t="str">
        <f>+AB44</f>
        <v>-</v>
      </c>
      <c r="AC45" s="112"/>
      <c r="AD45" s="114"/>
      <c r="AE45" s="115"/>
      <c r="AF45" s="115"/>
      <c r="AG45" s="116"/>
      <c r="AH45" s="117"/>
      <c r="AI45" s="117"/>
      <c r="AJ45" s="342"/>
      <c r="AK45" s="343"/>
      <c r="AL45" s="346"/>
      <c r="AM45" s="347"/>
      <c r="AN45" s="118"/>
      <c r="AO45" s="101" t="str">
        <f t="shared" si="19"/>
        <v/>
      </c>
      <c r="AP45" s="113" t="str">
        <f t="shared" si="20"/>
        <v>-</v>
      </c>
      <c r="AQ45" s="119"/>
      <c r="AR45" s="103" t="str">
        <f t="shared" si="21"/>
        <v/>
      </c>
      <c r="AY45" s="38" t="str">
        <f t="shared" si="1"/>
        <v/>
      </c>
      <c r="AZ45" s="38" t="str">
        <f t="shared" si="2"/>
        <v>0</v>
      </c>
      <c r="BA45" s="38" t="str">
        <f t="shared" si="3"/>
        <v>0</v>
      </c>
      <c r="BB45" s="38" t="str">
        <f t="shared" si="4"/>
        <v>0</v>
      </c>
      <c r="BC45" s="38">
        <f t="shared" si="5"/>
        <v>0</v>
      </c>
      <c r="BD45" s="38">
        <f t="shared" si="6"/>
        <v>0</v>
      </c>
      <c r="BL45" s="38" t="str">
        <f t="shared" si="7"/>
        <v/>
      </c>
      <c r="BM45" s="38" t="str">
        <f t="shared" si="8"/>
        <v/>
      </c>
      <c r="BN45" s="38" t="str">
        <f t="shared" si="9"/>
        <v/>
      </c>
      <c r="BO45" s="38" t="str">
        <f t="shared" si="10"/>
        <v/>
      </c>
      <c r="BP45" s="38" t="str">
        <f t="shared" si="11"/>
        <v/>
      </c>
      <c r="BQ45" s="38" t="str">
        <f t="shared" si="12"/>
        <v/>
      </c>
    </row>
    <row r="46" spans="1:69" ht="16.2" thickBot="1" x14ac:dyDescent="0.35">
      <c r="A46" s="163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64"/>
      <c r="Z46" s="165"/>
      <c r="AA46" s="166"/>
      <c r="AB46" s="167" t="str">
        <f>+AB45</f>
        <v>-</v>
      </c>
      <c r="AC46" s="166"/>
      <c r="AD46" s="168"/>
      <c r="AE46" s="169"/>
      <c r="AF46" s="169"/>
      <c r="AG46" s="170"/>
      <c r="AH46" s="171"/>
      <c r="AI46" s="171"/>
      <c r="AJ46" s="344"/>
      <c r="AK46" s="345"/>
      <c r="AL46" s="352"/>
      <c r="AM46" s="353"/>
      <c r="AN46" s="172"/>
      <c r="AO46" s="101" t="str">
        <f t="shared" si="19"/>
        <v/>
      </c>
      <c r="AP46" s="113" t="str">
        <f t="shared" si="20"/>
        <v>-</v>
      </c>
      <c r="AQ46" s="119"/>
      <c r="AR46" s="103" t="str">
        <f t="shared" si="21"/>
        <v/>
      </c>
      <c r="AY46" s="38" t="str">
        <f t="shared" si="1"/>
        <v/>
      </c>
      <c r="AZ46" s="38" t="str">
        <f t="shared" si="2"/>
        <v>0</v>
      </c>
      <c r="BA46" s="38" t="str">
        <f t="shared" si="3"/>
        <v>0</v>
      </c>
      <c r="BB46" s="38" t="str">
        <f t="shared" si="4"/>
        <v>0</v>
      </c>
      <c r="BC46" s="38">
        <f t="shared" si="5"/>
        <v>0</v>
      </c>
      <c r="BD46" s="38">
        <f t="shared" si="6"/>
        <v>0</v>
      </c>
      <c r="BL46" s="38" t="str">
        <f t="shared" si="7"/>
        <v/>
      </c>
      <c r="BM46" s="38" t="str">
        <f t="shared" si="8"/>
        <v/>
      </c>
      <c r="BN46" s="38" t="str">
        <f t="shared" si="9"/>
        <v/>
      </c>
      <c r="BO46" s="38" t="str">
        <f t="shared" si="10"/>
        <v/>
      </c>
      <c r="BP46" s="38" t="str">
        <f t="shared" si="11"/>
        <v/>
      </c>
      <c r="BQ46" s="38" t="str">
        <f t="shared" si="12"/>
        <v/>
      </c>
    </row>
    <row r="47" spans="1:69" ht="18.600000000000001" thickBot="1" x14ac:dyDescent="0.35">
      <c r="A47" s="173" t="s">
        <v>69</v>
      </c>
      <c r="B47" s="174"/>
      <c r="C47" s="174"/>
      <c r="D47" s="174"/>
      <c r="E47" s="174"/>
      <c r="F47" s="174"/>
      <c r="G47" s="174">
        <f>IF(AO52&gt;AR52,AO52,IF(AO52=AR52,AO52,AR52))</f>
        <v>5</v>
      </c>
      <c r="H47" s="175" t="s">
        <v>16</v>
      </c>
      <c r="I47" s="174">
        <f>IF(AO52&gt;AR52,AR52,IF(AO52=AR52,AR52,AO52))</f>
        <v>2</v>
      </c>
      <c r="J47" s="174"/>
      <c r="K47" s="174" t="s">
        <v>70</v>
      </c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6" t="str">
        <f>BE52</f>
        <v>WIT</v>
      </c>
      <c r="W47" s="174"/>
      <c r="X47" s="174"/>
      <c r="Y47" s="174"/>
      <c r="Z47" s="174"/>
      <c r="AA47" s="174"/>
      <c r="AB47" s="174"/>
      <c r="AC47" s="174"/>
      <c r="AD47" s="177"/>
      <c r="AE47" s="178" t="s">
        <v>71</v>
      </c>
      <c r="AF47" s="179"/>
      <c r="AG47" s="179"/>
      <c r="AH47" s="179"/>
      <c r="AI47" s="179"/>
      <c r="AJ47" s="174"/>
      <c r="AK47" s="174"/>
      <c r="AL47" s="403" t="s">
        <v>177</v>
      </c>
      <c r="AM47" s="404"/>
      <c r="AN47" s="404"/>
      <c r="AO47" s="404"/>
      <c r="AP47" s="404"/>
      <c r="AQ47" s="404"/>
      <c r="AR47" s="405"/>
    </row>
    <row r="48" spans="1:69" x14ac:dyDescent="0.3">
      <c r="A48" s="180" t="s">
        <v>72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2"/>
      <c r="P48" s="183" t="s">
        <v>72</v>
      </c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2"/>
      <c r="AC48" s="181"/>
      <c r="AD48" s="184"/>
      <c r="AE48" s="185" t="s">
        <v>72</v>
      </c>
      <c r="AF48" s="186"/>
      <c r="AG48" s="186"/>
      <c r="AH48" s="186"/>
      <c r="AI48" s="186"/>
      <c r="AJ48" s="181"/>
      <c r="AK48" s="181"/>
      <c r="AL48" s="181"/>
      <c r="AM48" s="181"/>
      <c r="AN48" s="181"/>
      <c r="AO48" s="186"/>
      <c r="AP48" s="181"/>
      <c r="AQ48" s="181"/>
      <c r="AR48" s="187"/>
    </row>
    <row r="49" spans="1:57" x14ac:dyDescent="0.3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/>
      <c r="P49" s="191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90"/>
      <c r="AC49" s="189"/>
      <c r="AD49" s="192"/>
      <c r="AE49" s="193"/>
      <c r="AF49" s="193"/>
      <c r="AG49" s="193"/>
      <c r="AH49" s="193"/>
      <c r="AI49" s="193"/>
      <c r="AJ49" s="189"/>
      <c r="AK49" s="189"/>
      <c r="AL49" s="189"/>
      <c r="AM49" s="189"/>
      <c r="AN49" s="189"/>
      <c r="AO49" s="193"/>
      <c r="AP49" s="189"/>
      <c r="AQ49" s="189"/>
      <c r="AR49" s="194"/>
    </row>
    <row r="50" spans="1:57" ht="14.4" thickBot="1" x14ac:dyDescent="0.3">
      <c r="A50" s="195" t="s">
        <v>73</v>
      </c>
      <c r="B50" s="196"/>
      <c r="C50" s="196"/>
      <c r="D50" s="196"/>
      <c r="E50" s="196"/>
      <c r="F50" s="196"/>
      <c r="G50" s="196"/>
      <c r="H50" s="197" t="s">
        <v>74</v>
      </c>
      <c r="I50" s="196"/>
      <c r="J50" s="196"/>
      <c r="K50" s="196"/>
      <c r="L50" s="196"/>
      <c r="M50" s="196"/>
      <c r="N50" s="196"/>
      <c r="O50" s="198"/>
      <c r="P50" s="199" t="s">
        <v>73</v>
      </c>
      <c r="Q50" s="196"/>
      <c r="R50" s="196"/>
      <c r="S50" s="196"/>
      <c r="T50" s="196"/>
      <c r="U50" s="196"/>
      <c r="V50" s="196"/>
      <c r="W50" s="197" t="s">
        <v>75</v>
      </c>
      <c r="X50" s="196"/>
      <c r="Y50" s="196"/>
      <c r="Z50" s="196"/>
      <c r="AA50" s="196"/>
      <c r="AB50" s="198"/>
      <c r="AC50" s="196"/>
      <c r="AD50" s="200"/>
      <c r="AE50" s="201" t="s">
        <v>25</v>
      </c>
      <c r="AF50" s="202"/>
      <c r="AG50" s="202"/>
      <c r="AH50" s="202"/>
      <c r="AI50" s="202"/>
      <c r="AJ50" s="203"/>
      <c r="AK50" s="203"/>
      <c r="AL50" s="203"/>
      <c r="AM50" s="203"/>
      <c r="AN50" s="203"/>
      <c r="AO50" s="202"/>
      <c r="AP50" s="203"/>
      <c r="AQ50" s="203"/>
      <c r="AR50" s="204"/>
    </row>
    <row r="52" spans="1:57" hidden="1" x14ac:dyDescent="0.3">
      <c r="AO52" s="40">
        <f>IF(AO13="","",MAX(AO13:AO46))</f>
        <v>5</v>
      </c>
      <c r="AR52" s="40">
        <f>IF(AR13="","",MAX(AR13:AR46))</f>
        <v>2</v>
      </c>
      <c r="AS52" s="38" t="str">
        <f>IF(AO13="","0","1")</f>
        <v>1</v>
      </c>
      <c r="BE52" s="38" t="str">
        <f>IF(AS52="0","WIT/BLAUW",IF(AO52&gt;AR52,"WIT",IF(AO52=AR52,"GELIJK","BLAUW")))</f>
        <v>WIT</v>
      </c>
    </row>
  </sheetData>
  <sheetProtection sheet="1" objects="1" scenarios="1"/>
  <mergeCells count="107">
    <mergeCell ref="B18:C18"/>
    <mergeCell ref="B19:C19"/>
    <mergeCell ref="B20:C20"/>
    <mergeCell ref="B21:C21"/>
    <mergeCell ref="B22:C22"/>
    <mergeCell ref="BF4:BI6"/>
    <mergeCell ref="AL47:AR47"/>
    <mergeCell ref="I40:J40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3:C23"/>
    <mergeCell ref="I24:J24"/>
    <mergeCell ref="F25:Y28"/>
    <mergeCell ref="A26:D28"/>
    <mergeCell ref="AL27:AM27"/>
    <mergeCell ref="AL28:AM28"/>
    <mergeCell ref="B17:C17"/>
    <mergeCell ref="K4:M4"/>
    <mergeCell ref="AH6:AR6"/>
    <mergeCell ref="F10:Y12"/>
    <mergeCell ref="Z10:AD12"/>
    <mergeCell ref="AJ10:AK12"/>
    <mergeCell ref="AL10:AM12"/>
    <mergeCell ref="AN10:AR11"/>
    <mergeCell ref="AN12:AO12"/>
    <mergeCell ref="AQ12:AR12"/>
    <mergeCell ref="AL17:AM17"/>
    <mergeCell ref="AJ17:AK17"/>
    <mergeCell ref="D3:N3"/>
    <mergeCell ref="AL13:AM13"/>
    <mergeCell ref="AL14:AM14"/>
    <mergeCell ref="AL15:AM15"/>
    <mergeCell ref="AL16:AM16"/>
    <mergeCell ref="D4:E4"/>
    <mergeCell ref="G4:I4"/>
    <mergeCell ref="A11:D12"/>
    <mergeCell ref="B14:C14"/>
    <mergeCell ref="B15:C15"/>
    <mergeCell ref="B16:C16"/>
    <mergeCell ref="AJ13:AK13"/>
    <mergeCell ref="AJ14:AK14"/>
    <mergeCell ref="AJ15:AK15"/>
    <mergeCell ref="AJ16:AK16"/>
    <mergeCell ref="AL29:AM29"/>
    <mergeCell ref="AL30:AM30"/>
    <mergeCell ref="AL31:AM31"/>
    <mergeCell ref="AL32:AM32"/>
    <mergeCell ref="AL33:AM33"/>
    <mergeCell ref="AL18:AM18"/>
    <mergeCell ref="AL19:AM19"/>
    <mergeCell ref="AL20:AM20"/>
    <mergeCell ref="AL21:AM21"/>
    <mergeCell ref="AL22:AM22"/>
    <mergeCell ref="AL23:AM23"/>
    <mergeCell ref="AL24:AM24"/>
    <mergeCell ref="AL25:AM25"/>
    <mergeCell ref="AL26:AM26"/>
    <mergeCell ref="AL44:AM44"/>
    <mergeCell ref="AL45:AM45"/>
    <mergeCell ref="AL46:AM46"/>
    <mergeCell ref="AL39:AM39"/>
    <mergeCell ref="AL40:AM40"/>
    <mergeCell ref="AL41:AM41"/>
    <mergeCell ref="AL42:AM42"/>
    <mergeCell ref="AL43:AM43"/>
    <mergeCell ref="AL34:AM34"/>
    <mergeCell ref="AL35:AM35"/>
    <mergeCell ref="AL36:AM36"/>
    <mergeCell ref="AL37:AM37"/>
    <mergeCell ref="AL38:AM38"/>
    <mergeCell ref="AJ29:AK29"/>
    <mergeCell ref="AJ30:AK30"/>
    <mergeCell ref="AJ31:AK31"/>
    <mergeCell ref="AJ32:AK32"/>
    <mergeCell ref="AJ33:AK33"/>
    <mergeCell ref="AJ18:AK18"/>
    <mergeCell ref="AJ19:AK19"/>
    <mergeCell ref="AJ20:AK20"/>
    <mergeCell ref="AJ21:AK21"/>
    <mergeCell ref="AJ22:AK22"/>
    <mergeCell ref="AJ24:AK24"/>
    <mergeCell ref="AJ25:AK25"/>
    <mergeCell ref="AJ26:AK26"/>
    <mergeCell ref="AJ27:AK27"/>
    <mergeCell ref="AJ28:AK28"/>
    <mergeCell ref="AJ23:AK23"/>
    <mergeCell ref="AJ44:AK44"/>
    <mergeCell ref="AJ45:AK45"/>
    <mergeCell ref="AJ46:AK46"/>
    <mergeCell ref="AJ39:AK39"/>
    <mergeCell ref="AJ40:AK40"/>
    <mergeCell ref="AJ41:AK41"/>
    <mergeCell ref="AJ42:AK42"/>
    <mergeCell ref="AJ43:AK43"/>
    <mergeCell ref="AJ34:AK34"/>
    <mergeCell ref="AJ35:AK35"/>
    <mergeCell ref="AJ36:AK36"/>
    <mergeCell ref="AJ37:AK37"/>
    <mergeCell ref="AJ38:AK38"/>
  </mergeCells>
  <dataValidations count="1">
    <dataValidation type="list" allowBlank="1" showInputMessage="1" showErrorMessage="1" sqref="AL47:AR47" xr:uid="{D3D72717-E5C3-41B8-BB57-15AC3A349742}">
      <formula1>"JA/NEE,JA,NEE"</formula1>
    </dataValidation>
  </dataValidations>
  <hyperlinks>
    <hyperlink ref="BF4:BI6" location="Wedstrijden!A1" display="Wedstrijdschema" xr:uid="{0C7D392D-A756-44DB-87F1-84F372C47C39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IV52"/>
  <sheetViews>
    <sheetView workbookViewId="0">
      <selection activeCell="BF4" sqref="BF4:BI6"/>
    </sheetView>
  </sheetViews>
  <sheetFormatPr defaultRowHeight="13.8" x14ac:dyDescent="0.3"/>
  <cols>
    <col min="1" max="6" width="2.33203125" style="38" customWidth="1"/>
    <col min="7" max="7" width="3.33203125" style="38" customWidth="1"/>
    <col min="8" max="8" width="2.33203125" style="38" customWidth="1"/>
    <col min="9" max="9" width="3.33203125" style="38" customWidth="1"/>
    <col min="10" max="25" width="2.33203125" style="38" customWidth="1"/>
    <col min="26" max="28" width="2.109375" style="38" customWidth="1"/>
    <col min="29" max="29" width="3" style="38" customWidth="1"/>
    <col min="30" max="30" width="2.109375" style="39" customWidth="1"/>
    <col min="31" max="35" width="2.33203125" style="40" customWidth="1"/>
    <col min="36" max="39" width="2.33203125" style="38" customWidth="1"/>
    <col min="40" max="40" width="2.109375" style="38" customWidth="1"/>
    <col min="41" max="41" width="3.33203125" style="40" customWidth="1"/>
    <col min="42" max="43" width="2.109375" style="38" customWidth="1"/>
    <col min="44" max="44" width="3.33203125" style="40" customWidth="1"/>
    <col min="45" max="45" width="9.109375" style="38"/>
    <col min="46" max="56" width="9.109375" style="38" hidden="1" customWidth="1"/>
    <col min="57" max="62" width="9.109375" style="38"/>
    <col min="63" max="69" width="0" style="38" hidden="1" customWidth="1"/>
    <col min="70" max="256" width="9.109375" style="38"/>
    <col min="257" max="281" width="2.33203125" style="38" customWidth="1"/>
    <col min="282" max="286" width="2.109375" style="38" customWidth="1"/>
    <col min="287" max="295" width="2.33203125" style="38" customWidth="1"/>
    <col min="296" max="300" width="2.109375" style="38" customWidth="1"/>
    <col min="301" max="512" width="9.109375" style="38"/>
    <col min="513" max="537" width="2.33203125" style="38" customWidth="1"/>
    <col min="538" max="542" width="2.109375" style="38" customWidth="1"/>
    <col min="543" max="551" width="2.33203125" style="38" customWidth="1"/>
    <col min="552" max="556" width="2.109375" style="38" customWidth="1"/>
    <col min="557" max="768" width="9.109375" style="38"/>
    <col min="769" max="793" width="2.33203125" style="38" customWidth="1"/>
    <col min="794" max="798" width="2.109375" style="38" customWidth="1"/>
    <col min="799" max="807" width="2.33203125" style="38" customWidth="1"/>
    <col min="808" max="812" width="2.109375" style="38" customWidth="1"/>
    <col min="813" max="1024" width="9.109375" style="38"/>
    <col min="1025" max="1049" width="2.33203125" style="38" customWidth="1"/>
    <col min="1050" max="1054" width="2.109375" style="38" customWidth="1"/>
    <col min="1055" max="1063" width="2.33203125" style="38" customWidth="1"/>
    <col min="1064" max="1068" width="2.109375" style="38" customWidth="1"/>
    <col min="1069" max="1280" width="9.109375" style="38"/>
    <col min="1281" max="1305" width="2.33203125" style="38" customWidth="1"/>
    <col min="1306" max="1310" width="2.109375" style="38" customWidth="1"/>
    <col min="1311" max="1319" width="2.33203125" style="38" customWidth="1"/>
    <col min="1320" max="1324" width="2.109375" style="38" customWidth="1"/>
    <col min="1325" max="1536" width="9.109375" style="38"/>
    <col min="1537" max="1561" width="2.33203125" style="38" customWidth="1"/>
    <col min="1562" max="1566" width="2.109375" style="38" customWidth="1"/>
    <col min="1567" max="1575" width="2.33203125" style="38" customWidth="1"/>
    <col min="1576" max="1580" width="2.109375" style="38" customWidth="1"/>
    <col min="1581" max="1792" width="9.109375" style="38"/>
    <col min="1793" max="1817" width="2.33203125" style="38" customWidth="1"/>
    <col min="1818" max="1822" width="2.109375" style="38" customWidth="1"/>
    <col min="1823" max="1831" width="2.33203125" style="38" customWidth="1"/>
    <col min="1832" max="1836" width="2.109375" style="38" customWidth="1"/>
    <col min="1837" max="2048" width="9.109375" style="38"/>
    <col min="2049" max="2073" width="2.33203125" style="38" customWidth="1"/>
    <col min="2074" max="2078" width="2.109375" style="38" customWidth="1"/>
    <col min="2079" max="2087" width="2.33203125" style="38" customWidth="1"/>
    <col min="2088" max="2092" width="2.109375" style="38" customWidth="1"/>
    <col min="2093" max="2304" width="9.109375" style="38"/>
    <col min="2305" max="2329" width="2.33203125" style="38" customWidth="1"/>
    <col min="2330" max="2334" width="2.109375" style="38" customWidth="1"/>
    <col min="2335" max="2343" width="2.33203125" style="38" customWidth="1"/>
    <col min="2344" max="2348" width="2.109375" style="38" customWidth="1"/>
    <col min="2349" max="2560" width="9.109375" style="38"/>
    <col min="2561" max="2585" width="2.33203125" style="38" customWidth="1"/>
    <col min="2586" max="2590" width="2.109375" style="38" customWidth="1"/>
    <col min="2591" max="2599" width="2.33203125" style="38" customWidth="1"/>
    <col min="2600" max="2604" width="2.109375" style="38" customWidth="1"/>
    <col min="2605" max="2816" width="9.109375" style="38"/>
    <col min="2817" max="2841" width="2.33203125" style="38" customWidth="1"/>
    <col min="2842" max="2846" width="2.109375" style="38" customWidth="1"/>
    <col min="2847" max="2855" width="2.33203125" style="38" customWidth="1"/>
    <col min="2856" max="2860" width="2.109375" style="38" customWidth="1"/>
    <col min="2861" max="3072" width="9.109375" style="38"/>
    <col min="3073" max="3097" width="2.33203125" style="38" customWidth="1"/>
    <col min="3098" max="3102" width="2.109375" style="38" customWidth="1"/>
    <col min="3103" max="3111" width="2.33203125" style="38" customWidth="1"/>
    <col min="3112" max="3116" width="2.109375" style="38" customWidth="1"/>
    <col min="3117" max="3328" width="9.109375" style="38"/>
    <col min="3329" max="3353" width="2.33203125" style="38" customWidth="1"/>
    <col min="3354" max="3358" width="2.109375" style="38" customWidth="1"/>
    <col min="3359" max="3367" width="2.33203125" style="38" customWidth="1"/>
    <col min="3368" max="3372" width="2.109375" style="38" customWidth="1"/>
    <col min="3373" max="3584" width="9.109375" style="38"/>
    <col min="3585" max="3609" width="2.33203125" style="38" customWidth="1"/>
    <col min="3610" max="3614" width="2.109375" style="38" customWidth="1"/>
    <col min="3615" max="3623" width="2.33203125" style="38" customWidth="1"/>
    <col min="3624" max="3628" width="2.109375" style="38" customWidth="1"/>
    <col min="3629" max="3840" width="9.109375" style="38"/>
    <col min="3841" max="3865" width="2.33203125" style="38" customWidth="1"/>
    <col min="3866" max="3870" width="2.109375" style="38" customWidth="1"/>
    <col min="3871" max="3879" width="2.33203125" style="38" customWidth="1"/>
    <col min="3880" max="3884" width="2.109375" style="38" customWidth="1"/>
    <col min="3885" max="4096" width="9.109375" style="38"/>
    <col min="4097" max="4121" width="2.33203125" style="38" customWidth="1"/>
    <col min="4122" max="4126" width="2.109375" style="38" customWidth="1"/>
    <col min="4127" max="4135" width="2.33203125" style="38" customWidth="1"/>
    <col min="4136" max="4140" width="2.109375" style="38" customWidth="1"/>
    <col min="4141" max="4352" width="9.109375" style="38"/>
    <col min="4353" max="4377" width="2.33203125" style="38" customWidth="1"/>
    <col min="4378" max="4382" width="2.109375" style="38" customWidth="1"/>
    <col min="4383" max="4391" width="2.33203125" style="38" customWidth="1"/>
    <col min="4392" max="4396" width="2.109375" style="38" customWidth="1"/>
    <col min="4397" max="4608" width="9.109375" style="38"/>
    <col min="4609" max="4633" width="2.33203125" style="38" customWidth="1"/>
    <col min="4634" max="4638" width="2.109375" style="38" customWidth="1"/>
    <col min="4639" max="4647" width="2.33203125" style="38" customWidth="1"/>
    <col min="4648" max="4652" width="2.109375" style="38" customWidth="1"/>
    <col min="4653" max="4864" width="9.109375" style="38"/>
    <col min="4865" max="4889" width="2.33203125" style="38" customWidth="1"/>
    <col min="4890" max="4894" width="2.109375" style="38" customWidth="1"/>
    <col min="4895" max="4903" width="2.33203125" style="38" customWidth="1"/>
    <col min="4904" max="4908" width="2.109375" style="38" customWidth="1"/>
    <col min="4909" max="5120" width="9.109375" style="38"/>
    <col min="5121" max="5145" width="2.33203125" style="38" customWidth="1"/>
    <col min="5146" max="5150" width="2.109375" style="38" customWidth="1"/>
    <col min="5151" max="5159" width="2.33203125" style="38" customWidth="1"/>
    <col min="5160" max="5164" width="2.109375" style="38" customWidth="1"/>
    <col min="5165" max="5376" width="9.109375" style="38"/>
    <col min="5377" max="5401" width="2.33203125" style="38" customWidth="1"/>
    <col min="5402" max="5406" width="2.109375" style="38" customWidth="1"/>
    <col min="5407" max="5415" width="2.33203125" style="38" customWidth="1"/>
    <col min="5416" max="5420" width="2.109375" style="38" customWidth="1"/>
    <col min="5421" max="5632" width="9.109375" style="38"/>
    <col min="5633" max="5657" width="2.33203125" style="38" customWidth="1"/>
    <col min="5658" max="5662" width="2.109375" style="38" customWidth="1"/>
    <col min="5663" max="5671" width="2.33203125" style="38" customWidth="1"/>
    <col min="5672" max="5676" width="2.109375" style="38" customWidth="1"/>
    <col min="5677" max="5888" width="9.109375" style="38"/>
    <col min="5889" max="5913" width="2.33203125" style="38" customWidth="1"/>
    <col min="5914" max="5918" width="2.109375" style="38" customWidth="1"/>
    <col min="5919" max="5927" width="2.33203125" style="38" customWidth="1"/>
    <col min="5928" max="5932" width="2.109375" style="38" customWidth="1"/>
    <col min="5933" max="6144" width="9.109375" style="38"/>
    <col min="6145" max="6169" width="2.33203125" style="38" customWidth="1"/>
    <col min="6170" max="6174" width="2.109375" style="38" customWidth="1"/>
    <col min="6175" max="6183" width="2.33203125" style="38" customWidth="1"/>
    <col min="6184" max="6188" width="2.109375" style="38" customWidth="1"/>
    <col min="6189" max="6400" width="9.109375" style="38"/>
    <col min="6401" max="6425" width="2.33203125" style="38" customWidth="1"/>
    <col min="6426" max="6430" width="2.109375" style="38" customWidth="1"/>
    <col min="6431" max="6439" width="2.33203125" style="38" customWidth="1"/>
    <col min="6440" max="6444" width="2.109375" style="38" customWidth="1"/>
    <col min="6445" max="6656" width="9.109375" style="38"/>
    <col min="6657" max="6681" width="2.33203125" style="38" customWidth="1"/>
    <col min="6682" max="6686" width="2.109375" style="38" customWidth="1"/>
    <col min="6687" max="6695" width="2.33203125" style="38" customWidth="1"/>
    <col min="6696" max="6700" width="2.109375" style="38" customWidth="1"/>
    <col min="6701" max="6912" width="9.109375" style="38"/>
    <col min="6913" max="6937" width="2.33203125" style="38" customWidth="1"/>
    <col min="6938" max="6942" width="2.109375" style="38" customWidth="1"/>
    <col min="6943" max="6951" width="2.33203125" style="38" customWidth="1"/>
    <col min="6952" max="6956" width="2.109375" style="38" customWidth="1"/>
    <col min="6957" max="7168" width="9.109375" style="38"/>
    <col min="7169" max="7193" width="2.33203125" style="38" customWidth="1"/>
    <col min="7194" max="7198" width="2.109375" style="38" customWidth="1"/>
    <col min="7199" max="7207" width="2.33203125" style="38" customWidth="1"/>
    <col min="7208" max="7212" width="2.109375" style="38" customWidth="1"/>
    <col min="7213" max="7424" width="9.109375" style="38"/>
    <col min="7425" max="7449" width="2.33203125" style="38" customWidth="1"/>
    <col min="7450" max="7454" width="2.109375" style="38" customWidth="1"/>
    <col min="7455" max="7463" width="2.33203125" style="38" customWidth="1"/>
    <col min="7464" max="7468" width="2.109375" style="38" customWidth="1"/>
    <col min="7469" max="7680" width="9.109375" style="38"/>
    <col min="7681" max="7705" width="2.33203125" style="38" customWidth="1"/>
    <col min="7706" max="7710" width="2.109375" style="38" customWidth="1"/>
    <col min="7711" max="7719" width="2.33203125" style="38" customWidth="1"/>
    <col min="7720" max="7724" width="2.109375" style="38" customWidth="1"/>
    <col min="7725" max="7936" width="9.109375" style="38"/>
    <col min="7937" max="7961" width="2.33203125" style="38" customWidth="1"/>
    <col min="7962" max="7966" width="2.109375" style="38" customWidth="1"/>
    <col min="7967" max="7975" width="2.33203125" style="38" customWidth="1"/>
    <col min="7976" max="7980" width="2.109375" style="38" customWidth="1"/>
    <col min="7981" max="8192" width="9.109375" style="38"/>
    <col min="8193" max="8217" width="2.33203125" style="38" customWidth="1"/>
    <col min="8218" max="8222" width="2.109375" style="38" customWidth="1"/>
    <col min="8223" max="8231" width="2.33203125" style="38" customWidth="1"/>
    <col min="8232" max="8236" width="2.109375" style="38" customWidth="1"/>
    <col min="8237" max="8448" width="9.109375" style="38"/>
    <col min="8449" max="8473" width="2.33203125" style="38" customWidth="1"/>
    <col min="8474" max="8478" width="2.109375" style="38" customWidth="1"/>
    <col min="8479" max="8487" width="2.33203125" style="38" customWidth="1"/>
    <col min="8488" max="8492" width="2.109375" style="38" customWidth="1"/>
    <col min="8493" max="8704" width="9.109375" style="38"/>
    <col min="8705" max="8729" width="2.33203125" style="38" customWidth="1"/>
    <col min="8730" max="8734" width="2.109375" style="38" customWidth="1"/>
    <col min="8735" max="8743" width="2.33203125" style="38" customWidth="1"/>
    <col min="8744" max="8748" width="2.109375" style="38" customWidth="1"/>
    <col min="8749" max="8960" width="9.109375" style="38"/>
    <col min="8961" max="8985" width="2.33203125" style="38" customWidth="1"/>
    <col min="8986" max="8990" width="2.109375" style="38" customWidth="1"/>
    <col min="8991" max="8999" width="2.33203125" style="38" customWidth="1"/>
    <col min="9000" max="9004" width="2.109375" style="38" customWidth="1"/>
    <col min="9005" max="9216" width="9.109375" style="38"/>
    <col min="9217" max="9241" width="2.33203125" style="38" customWidth="1"/>
    <col min="9242" max="9246" width="2.109375" style="38" customWidth="1"/>
    <col min="9247" max="9255" width="2.33203125" style="38" customWidth="1"/>
    <col min="9256" max="9260" width="2.109375" style="38" customWidth="1"/>
    <col min="9261" max="9472" width="9.109375" style="38"/>
    <col min="9473" max="9497" width="2.33203125" style="38" customWidth="1"/>
    <col min="9498" max="9502" width="2.109375" style="38" customWidth="1"/>
    <col min="9503" max="9511" width="2.33203125" style="38" customWidth="1"/>
    <col min="9512" max="9516" width="2.109375" style="38" customWidth="1"/>
    <col min="9517" max="9728" width="9.109375" style="38"/>
    <col min="9729" max="9753" width="2.33203125" style="38" customWidth="1"/>
    <col min="9754" max="9758" width="2.109375" style="38" customWidth="1"/>
    <col min="9759" max="9767" width="2.33203125" style="38" customWidth="1"/>
    <col min="9768" max="9772" width="2.109375" style="38" customWidth="1"/>
    <col min="9773" max="9984" width="9.109375" style="38"/>
    <col min="9985" max="10009" width="2.33203125" style="38" customWidth="1"/>
    <col min="10010" max="10014" width="2.109375" style="38" customWidth="1"/>
    <col min="10015" max="10023" width="2.33203125" style="38" customWidth="1"/>
    <col min="10024" max="10028" width="2.109375" style="38" customWidth="1"/>
    <col min="10029" max="10240" width="9.109375" style="38"/>
    <col min="10241" max="10265" width="2.33203125" style="38" customWidth="1"/>
    <col min="10266" max="10270" width="2.109375" style="38" customWidth="1"/>
    <col min="10271" max="10279" width="2.33203125" style="38" customWidth="1"/>
    <col min="10280" max="10284" width="2.109375" style="38" customWidth="1"/>
    <col min="10285" max="10496" width="9.109375" style="38"/>
    <col min="10497" max="10521" width="2.33203125" style="38" customWidth="1"/>
    <col min="10522" max="10526" width="2.109375" style="38" customWidth="1"/>
    <col min="10527" max="10535" width="2.33203125" style="38" customWidth="1"/>
    <col min="10536" max="10540" width="2.109375" style="38" customWidth="1"/>
    <col min="10541" max="10752" width="9.109375" style="38"/>
    <col min="10753" max="10777" width="2.33203125" style="38" customWidth="1"/>
    <col min="10778" max="10782" width="2.109375" style="38" customWidth="1"/>
    <col min="10783" max="10791" width="2.33203125" style="38" customWidth="1"/>
    <col min="10792" max="10796" width="2.109375" style="38" customWidth="1"/>
    <col min="10797" max="11008" width="9.109375" style="38"/>
    <col min="11009" max="11033" width="2.33203125" style="38" customWidth="1"/>
    <col min="11034" max="11038" width="2.109375" style="38" customWidth="1"/>
    <col min="11039" max="11047" width="2.33203125" style="38" customWidth="1"/>
    <col min="11048" max="11052" width="2.109375" style="38" customWidth="1"/>
    <col min="11053" max="11264" width="9.109375" style="38"/>
    <col min="11265" max="11289" width="2.33203125" style="38" customWidth="1"/>
    <col min="11290" max="11294" width="2.109375" style="38" customWidth="1"/>
    <col min="11295" max="11303" width="2.33203125" style="38" customWidth="1"/>
    <col min="11304" max="11308" width="2.109375" style="38" customWidth="1"/>
    <col min="11309" max="11520" width="9.109375" style="38"/>
    <col min="11521" max="11545" width="2.33203125" style="38" customWidth="1"/>
    <col min="11546" max="11550" width="2.109375" style="38" customWidth="1"/>
    <col min="11551" max="11559" width="2.33203125" style="38" customWidth="1"/>
    <col min="11560" max="11564" width="2.109375" style="38" customWidth="1"/>
    <col min="11565" max="11776" width="9.109375" style="38"/>
    <col min="11777" max="11801" width="2.33203125" style="38" customWidth="1"/>
    <col min="11802" max="11806" width="2.109375" style="38" customWidth="1"/>
    <col min="11807" max="11815" width="2.33203125" style="38" customWidth="1"/>
    <col min="11816" max="11820" width="2.109375" style="38" customWidth="1"/>
    <col min="11821" max="12032" width="9.109375" style="38"/>
    <col min="12033" max="12057" width="2.33203125" style="38" customWidth="1"/>
    <col min="12058" max="12062" width="2.109375" style="38" customWidth="1"/>
    <col min="12063" max="12071" width="2.33203125" style="38" customWidth="1"/>
    <col min="12072" max="12076" width="2.109375" style="38" customWidth="1"/>
    <col min="12077" max="12288" width="9.109375" style="38"/>
    <col min="12289" max="12313" width="2.33203125" style="38" customWidth="1"/>
    <col min="12314" max="12318" width="2.109375" style="38" customWidth="1"/>
    <col min="12319" max="12327" width="2.33203125" style="38" customWidth="1"/>
    <col min="12328" max="12332" width="2.109375" style="38" customWidth="1"/>
    <col min="12333" max="12544" width="9.109375" style="38"/>
    <col min="12545" max="12569" width="2.33203125" style="38" customWidth="1"/>
    <col min="12570" max="12574" width="2.109375" style="38" customWidth="1"/>
    <col min="12575" max="12583" width="2.33203125" style="38" customWidth="1"/>
    <col min="12584" max="12588" width="2.109375" style="38" customWidth="1"/>
    <col min="12589" max="12800" width="9.109375" style="38"/>
    <col min="12801" max="12825" width="2.33203125" style="38" customWidth="1"/>
    <col min="12826" max="12830" width="2.109375" style="38" customWidth="1"/>
    <col min="12831" max="12839" width="2.33203125" style="38" customWidth="1"/>
    <col min="12840" max="12844" width="2.109375" style="38" customWidth="1"/>
    <col min="12845" max="13056" width="9.109375" style="38"/>
    <col min="13057" max="13081" width="2.33203125" style="38" customWidth="1"/>
    <col min="13082" max="13086" width="2.109375" style="38" customWidth="1"/>
    <col min="13087" max="13095" width="2.33203125" style="38" customWidth="1"/>
    <col min="13096" max="13100" width="2.109375" style="38" customWidth="1"/>
    <col min="13101" max="13312" width="9.109375" style="38"/>
    <col min="13313" max="13337" width="2.33203125" style="38" customWidth="1"/>
    <col min="13338" max="13342" width="2.109375" style="38" customWidth="1"/>
    <col min="13343" max="13351" width="2.33203125" style="38" customWidth="1"/>
    <col min="13352" max="13356" width="2.109375" style="38" customWidth="1"/>
    <col min="13357" max="13568" width="9.109375" style="38"/>
    <col min="13569" max="13593" width="2.33203125" style="38" customWidth="1"/>
    <col min="13594" max="13598" width="2.109375" style="38" customWidth="1"/>
    <col min="13599" max="13607" width="2.33203125" style="38" customWidth="1"/>
    <col min="13608" max="13612" width="2.109375" style="38" customWidth="1"/>
    <col min="13613" max="13824" width="9.109375" style="38"/>
    <col min="13825" max="13849" width="2.33203125" style="38" customWidth="1"/>
    <col min="13850" max="13854" width="2.109375" style="38" customWidth="1"/>
    <col min="13855" max="13863" width="2.33203125" style="38" customWidth="1"/>
    <col min="13864" max="13868" width="2.109375" style="38" customWidth="1"/>
    <col min="13869" max="14080" width="9.109375" style="38"/>
    <col min="14081" max="14105" width="2.33203125" style="38" customWidth="1"/>
    <col min="14106" max="14110" width="2.109375" style="38" customWidth="1"/>
    <col min="14111" max="14119" width="2.33203125" style="38" customWidth="1"/>
    <col min="14120" max="14124" width="2.109375" style="38" customWidth="1"/>
    <col min="14125" max="14336" width="9.109375" style="38"/>
    <col min="14337" max="14361" width="2.33203125" style="38" customWidth="1"/>
    <col min="14362" max="14366" width="2.109375" style="38" customWidth="1"/>
    <col min="14367" max="14375" width="2.33203125" style="38" customWidth="1"/>
    <col min="14376" max="14380" width="2.109375" style="38" customWidth="1"/>
    <col min="14381" max="14592" width="9.109375" style="38"/>
    <col min="14593" max="14617" width="2.33203125" style="38" customWidth="1"/>
    <col min="14618" max="14622" width="2.109375" style="38" customWidth="1"/>
    <col min="14623" max="14631" width="2.33203125" style="38" customWidth="1"/>
    <col min="14632" max="14636" width="2.109375" style="38" customWidth="1"/>
    <col min="14637" max="14848" width="9.109375" style="38"/>
    <col min="14849" max="14873" width="2.33203125" style="38" customWidth="1"/>
    <col min="14874" max="14878" width="2.109375" style="38" customWidth="1"/>
    <col min="14879" max="14887" width="2.33203125" style="38" customWidth="1"/>
    <col min="14888" max="14892" width="2.109375" style="38" customWidth="1"/>
    <col min="14893" max="15104" width="9.109375" style="38"/>
    <col min="15105" max="15129" width="2.33203125" style="38" customWidth="1"/>
    <col min="15130" max="15134" width="2.109375" style="38" customWidth="1"/>
    <col min="15135" max="15143" width="2.33203125" style="38" customWidth="1"/>
    <col min="15144" max="15148" width="2.109375" style="38" customWidth="1"/>
    <col min="15149" max="15360" width="9.109375" style="38"/>
    <col min="15361" max="15385" width="2.33203125" style="38" customWidth="1"/>
    <col min="15386" max="15390" width="2.109375" style="38" customWidth="1"/>
    <col min="15391" max="15399" width="2.33203125" style="38" customWidth="1"/>
    <col min="15400" max="15404" width="2.109375" style="38" customWidth="1"/>
    <col min="15405" max="15616" width="9.109375" style="38"/>
    <col min="15617" max="15641" width="2.33203125" style="38" customWidth="1"/>
    <col min="15642" max="15646" width="2.109375" style="38" customWidth="1"/>
    <col min="15647" max="15655" width="2.33203125" style="38" customWidth="1"/>
    <col min="15656" max="15660" width="2.109375" style="38" customWidth="1"/>
    <col min="15661" max="15872" width="9.109375" style="38"/>
    <col min="15873" max="15897" width="2.33203125" style="38" customWidth="1"/>
    <col min="15898" max="15902" width="2.109375" style="38" customWidth="1"/>
    <col min="15903" max="15911" width="2.33203125" style="38" customWidth="1"/>
    <col min="15912" max="15916" width="2.109375" style="38" customWidth="1"/>
    <col min="15917" max="16128" width="9.109375" style="38"/>
    <col min="16129" max="16153" width="2.33203125" style="38" customWidth="1"/>
    <col min="16154" max="16158" width="2.109375" style="38" customWidth="1"/>
    <col min="16159" max="16167" width="2.33203125" style="38" customWidth="1"/>
    <col min="16168" max="16172" width="2.109375" style="38" customWidth="1"/>
    <col min="16173" max="16384" width="9.109375" style="38"/>
  </cols>
  <sheetData>
    <row r="1" spans="1:256" ht="20.399999999999999" x14ac:dyDescent="0.3">
      <c r="A1" s="37" t="s">
        <v>40</v>
      </c>
      <c r="AO1" s="41">
        <v>0</v>
      </c>
      <c r="AP1" s="42"/>
      <c r="AQ1" s="42"/>
      <c r="AR1" s="41">
        <v>0</v>
      </c>
      <c r="AV1" s="43">
        <v>1.3888888888888888E-2</v>
      </c>
    </row>
    <row r="2" spans="1:256" x14ac:dyDescent="0.3">
      <c r="A2" s="38" t="s">
        <v>42</v>
      </c>
      <c r="E2" s="38" t="s">
        <v>76</v>
      </c>
      <c r="P2" s="44" t="s">
        <v>22</v>
      </c>
      <c r="Q2" s="45"/>
      <c r="R2" s="45"/>
      <c r="S2" s="45"/>
      <c r="T2" s="45"/>
      <c r="U2" s="45"/>
      <c r="V2" s="45"/>
      <c r="W2" s="45" t="s">
        <v>3</v>
      </c>
      <c r="X2" s="45"/>
      <c r="Y2" s="46" t="s">
        <v>41</v>
      </c>
      <c r="Z2" s="45"/>
      <c r="AA2" s="45"/>
      <c r="AB2" s="45"/>
      <c r="AC2" s="45"/>
      <c r="AD2" s="47"/>
      <c r="AE2" s="48"/>
      <c r="AF2" s="48"/>
      <c r="AG2" s="49"/>
    </row>
    <row r="3" spans="1:256" ht="15" thickBot="1" x14ac:dyDescent="0.35">
      <c r="A3" s="38" t="s">
        <v>19</v>
      </c>
      <c r="D3" s="415">
        <f>Wedstrijden!I2</f>
        <v>45732</v>
      </c>
      <c r="E3" s="416"/>
      <c r="F3" s="416"/>
      <c r="G3" s="416"/>
      <c r="H3" s="416"/>
      <c r="I3" s="416"/>
      <c r="J3" s="416"/>
      <c r="K3" s="416"/>
      <c r="L3" s="416"/>
      <c r="M3" s="416"/>
      <c r="N3" s="417"/>
      <c r="P3" s="50" t="s">
        <v>18</v>
      </c>
      <c r="Q3" s="51" t="s">
        <v>43</v>
      </c>
      <c r="W3" s="38" t="s">
        <v>0</v>
      </c>
      <c r="Y3" s="51" t="s">
        <v>44</v>
      </c>
      <c r="AG3" s="52"/>
    </row>
    <row r="4" spans="1:256" x14ac:dyDescent="0.3">
      <c r="A4" s="38" t="s">
        <v>20</v>
      </c>
      <c r="D4" s="418">
        <v>5</v>
      </c>
      <c r="E4" s="418"/>
      <c r="F4" s="53"/>
      <c r="G4" s="419">
        <f>VLOOKUP(D4,Wedstrijden!A6:B57,2,0)</f>
        <v>0.5625</v>
      </c>
      <c r="H4" s="419"/>
      <c r="I4" s="419"/>
      <c r="J4" s="54" t="s">
        <v>16</v>
      </c>
      <c r="K4" s="419">
        <f>G4+AV1</f>
        <v>0.57638888888888884</v>
      </c>
      <c r="L4" s="419"/>
      <c r="M4" s="419"/>
      <c r="N4" s="53"/>
      <c r="P4" s="50" t="s">
        <v>17</v>
      </c>
      <c r="Q4" s="51" t="s">
        <v>45</v>
      </c>
      <c r="W4" s="38" t="s">
        <v>9</v>
      </c>
      <c r="Y4" s="51" t="s">
        <v>46</v>
      </c>
      <c r="AG4" s="52"/>
      <c r="BF4" s="406" t="s">
        <v>102</v>
      </c>
      <c r="BG4" s="407"/>
      <c r="BH4" s="407"/>
      <c r="BI4" s="408"/>
    </row>
    <row r="5" spans="1:256" x14ac:dyDescent="0.3">
      <c r="A5" s="38" t="s">
        <v>164</v>
      </c>
      <c r="D5" s="260" t="str">
        <f>VLOOKUP(D4,Wedstrijden!A6:D20,4,0)</f>
        <v>A</v>
      </c>
      <c r="P5" s="50" t="s">
        <v>10</v>
      </c>
      <c r="Q5" s="51" t="s">
        <v>47</v>
      </c>
      <c r="W5" s="38" t="s">
        <v>12</v>
      </c>
      <c r="Y5" s="51" t="s">
        <v>48</v>
      </c>
      <c r="AG5" s="52"/>
      <c r="BF5" s="409"/>
      <c r="BG5" s="410"/>
      <c r="BH5" s="410"/>
      <c r="BI5" s="411"/>
    </row>
    <row r="6" spans="1:256" ht="14.4" thickBot="1" x14ac:dyDescent="0.2">
      <c r="A6" s="38" t="s">
        <v>21</v>
      </c>
      <c r="D6" s="55" t="str">
        <f>Wedstrijden!K2</f>
        <v>Den Bosch</v>
      </c>
      <c r="P6" s="50" t="s">
        <v>11</v>
      </c>
      <c r="Q6" s="51" t="s">
        <v>49</v>
      </c>
      <c r="W6" s="38" t="s">
        <v>13</v>
      </c>
      <c r="Y6" s="51" t="s">
        <v>50</v>
      </c>
      <c r="AG6" s="52"/>
      <c r="AH6" s="354" t="s">
        <v>51</v>
      </c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BF6" s="412"/>
      <c r="BG6" s="413"/>
      <c r="BH6" s="413"/>
      <c r="BI6" s="414"/>
    </row>
    <row r="7" spans="1:256" x14ac:dyDescent="0.2">
      <c r="A7" s="56" t="s">
        <v>52</v>
      </c>
      <c r="B7" s="57"/>
      <c r="C7" s="57"/>
      <c r="D7" s="57"/>
      <c r="E7" s="58" t="s">
        <v>53</v>
      </c>
      <c r="F7" s="57"/>
      <c r="G7" s="59" t="str">
        <f>VLOOKUP(D4,Wedstrijden!A6:L57,5,0)</f>
        <v>Aqua Novio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 t="s">
        <v>54</v>
      </c>
      <c r="X7" s="57"/>
      <c r="Y7" s="57"/>
      <c r="Z7" s="58" t="s">
        <v>55</v>
      </c>
      <c r="AA7" s="58"/>
      <c r="AB7" s="57"/>
      <c r="AC7" s="59" t="str">
        <f>VLOOKUP(D4,Wedstrijden!A6:L57,9,0)</f>
        <v>RZ Roermond</v>
      </c>
      <c r="AD7" s="60"/>
      <c r="AE7" s="61"/>
      <c r="AF7" s="61"/>
      <c r="AG7" s="61"/>
      <c r="AH7" s="61"/>
      <c r="AI7" s="61"/>
      <c r="AJ7" s="57"/>
      <c r="AK7" s="57"/>
      <c r="AL7" s="57"/>
      <c r="AM7" s="57"/>
      <c r="AN7" s="57"/>
      <c r="AO7" s="61"/>
      <c r="AP7" s="57"/>
      <c r="AQ7" s="57"/>
      <c r="AR7" s="62"/>
    </row>
    <row r="8" spans="1:256" x14ac:dyDescent="0.3">
      <c r="A8" s="63" t="s">
        <v>56</v>
      </c>
      <c r="B8" s="64"/>
      <c r="C8" s="64"/>
      <c r="D8" s="64"/>
      <c r="E8" s="64"/>
      <c r="F8" s="64"/>
      <c r="G8" s="64"/>
      <c r="H8" s="64"/>
      <c r="I8" s="64"/>
      <c r="J8" s="65" t="str">
        <f>VLOOKUP(D4,Wedstrijden!A6:P343,13,0)</f>
        <v>Willy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 t="s">
        <v>57</v>
      </c>
      <c r="X8" s="64"/>
      <c r="Y8" s="64"/>
      <c r="Z8" s="66" t="str">
        <f>VLOOKUP(D4,Wedstrijden!A6:N170,14,0)</f>
        <v>Hans</v>
      </c>
      <c r="AA8" s="64"/>
      <c r="AB8" s="64"/>
      <c r="AC8" s="64"/>
      <c r="AD8" s="67"/>
      <c r="AE8" s="68"/>
      <c r="AF8" s="68"/>
      <c r="AG8" s="68"/>
      <c r="AH8" s="68"/>
      <c r="AI8" s="68"/>
      <c r="AJ8" s="69" t="s">
        <v>17</v>
      </c>
      <c r="AK8" s="64"/>
      <c r="AL8" s="64"/>
      <c r="AM8" s="64"/>
      <c r="AN8" s="64"/>
      <c r="AO8" s="68"/>
      <c r="AP8" s="64"/>
      <c r="AQ8" s="64"/>
      <c r="AR8" s="70"/>
    </row>
    <row r="9" spans="1:256" ht="14.4" thickBot="1" x14ac:dyDescent="0.35">
      <c r="A9" s="71" t="s">
        <v>58</v>
      </c>
      <c r="B9" s="72"/>
      <c r="C9" s="72"/>
      <c r="D9" s="72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 t="s">
        <v>59</v>
      </c>
      <c r="X9" s="72"/>
      <c r="Y9" s="72"/>
      <c r="Z9" s="72"/>
      <c r="AA9" s="72"/>
      <c r="AB9" s="73"/>
      <c r="AC9" s="73"/>
      <c r="AD9" s="75"/>
      <c r="AE9" s="76"/>
      <c r="AF9" s="76"/>
      <c r="AG9" s="76"/>
      <c r="AH9" s="76"/>
      <c r="AI9" s="76"/>
      <c r="AJ9" s="73"/>
      <c r="AK9" s="73"/>
      <c r="AL9" s="73"/>
      <c r="AM9" s="73"/>
      <c r="AN9" s="73"/>
      <c r="AO9" s="76"/>
      <c r="AP9" s="73"/>
      <c r="AQ9" s="73"/>
      <c r="AR9" s="77"/>
    </row>
    <row r="10" spans="1:256" ht="15" x14ac:dyDescent="0.3">
      <c r="A10" s="78" t="s">
        <v>60</v>
      </c>
      <c r="B10" s="79"/>
      <c r="C10" s="79"/>
      <c r="D10" s="79"/>
      <c r="E10" s="79"/>
      <c r="F10" s="356" t="str">
        <f>+G7</f>
        <v>Aqua Novio</v>
      </c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7"/>
      <c r="Z10" s="362" t="s">
        <v>8</v>
      </c>
      <c r="AA10" s="363"/>
      <c r="AB10" s="363"/>
      <c r="AC10" s="363"/>
      <c r="AD10" s="364"/>
      <c r="AE10" s="80"/>
      <c r="AF10" s="80"/>
      <c r="AG10" s="80"/>
      <c r="AH10" s="80" t="s">
        <v>61</v>
      </c>
      <c r="AI10" s="80" t="s">
        <v>61</v>
      </c>
      <c r="AJ10" s="371" t="s">
        <v>14</v>
      </c>
      <c r="AK10" s="372"/>
      <c r="AL10" s="377" t="s">
        <v>62</v>
      </c>
      <c r="AM10" s="378"/>
      <c r="AN10" s="383" t="s">
        <v>15</v>
      </c>
      <c r="AO10" s="384"/>
      <c r="AP10" s="384"/>
      <c r="AQ10" s="384"/>
      <c r="AR10" s="385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2" t="s">
        <v>136</v>
      </c>
      <c r="BL10" s="82" t="str">
        <f>CONCATENATE($BL$12&amp;BK10&amp;"x")</f>
        <v>swwx</v>
      </c>
      <c r="BM10" s="82" t="str">
        <f>CONCATENATE($BM$12&amp;BK10&amp;"x")</f>
        <v>dwx</v>
      </c>
      <c r="BN10" s="82" t="str">
        <f>CONCATENATE($BN$12&amp;BK10&amp;"x")</f>
        <v>pwx</v>
      </c>
      <c r="BO10" s="82" t="str">
        <f>CONCATENATE($BO$12&amp;BK10&amp;"x")</f>
        <v>umvwx</v>
      </c>
      <c r="BP10" s="82" t="str">
        <f>CONCATENATE($BP$12&amp;BK10&amp;"x")</f>
        <v>uzvwx</v>
      </c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1" spans="1:256" x14ac:dyDescent="0.3">
      <c r="A11" s="393" t="s">
        <v>7</v>
      </c>
      <c r="B11" s="394"/>
      <c r="C11" s="394"/>
      <c r="D11" s="394"/>
      <c r="E11" s="81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  <c r="Z11" s="365"/>
      <c r="AA11" s="366"/>
      <c r="AB11" s="366"/>
      <c r="AC11" s="366"/>
      <c r="AD11" s="367"/>
      <c r="AE11" s="83" t="s">
        <v>63</v>
      </c>
      <c r="AF11" s="83"/>
      <c r="AG11" s="83"/>
      <c r="AH11" s="83" t="s">
        <v>64</v>
      </c>
      <c r="AI11" s="83" t="s">
        <v>65</v>
      </c>
      <c r="AJ11" s="373"/>
      <c r="AK11" s="374"/>
      <c r="AL11" s="379"/>
      <c r="AM11" s="380"/>
      <c r="AN11" s="386"/>
      <c r="AO11" s="387"/>
      <c r="AP11" s="387"/>
      <c r="AQ11" s="387"/>
      <c r="AR11" s="388"/>
      <c r="AS11" s="81"/>
      <c r="AT11" s="81"/>
      <c r="AU11" s="81" t="s">
        <v>17</v>
      </c>
      <c r="AV11" s="81" t="s">
        <v>18</v>
      </c>
      <c r="AW11" s="81" t="s">
        <v>77</v>
      </c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2" t="s">
        <v>142</v>
      </c>
      <c r="BL11" s="82" t="str">
        <f>CONCATENATE($BL$12&amp;BK11&amp;"x")</f>
        <v>swbx</v>
      </c>
      <c r="BM11" s="82" t="str">
        <f>CONCATENATE($BM$12&amp;BK11&amp;"x")</f>
        <v>dbx</v>
      </c>
      <c r="BN11" s="82" t="str">
        <f>CONCATENATE($BN$12&amp;BK11&amp;"x")</f>
        <v>pbx</v>
      </c>
      <c r="BO11" s="82" t="str">
        <f>CONCATENATE($BO$12&amp;BK11&amp;"x")</f>
        <v>umvbx</v>
      </c>
      <c r="BP11" s="82" t="str">
        <f>CONCATENATE($BP$12&amp;BK11&amp;"x")</f>
        <v>uzvbx</v>
      </c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</row>
    <row r="12" spans="1:256" ht="18" x14ac:dyDescent="0.35">
      <c r="A12" s="395"/>
      <c r="B12" s="396"/>
      <c r="C12" s="396"/>
      <c r="D12" s="394"/>
      <c r="E12" s="81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1"/>
      <c r="Z12" s="368"/>
      <c r="AA12" s="369"/>
      <c r="AB12" s="369"/>
      <c r="AC12" s="369"/>
      <c r="AD12" s="370"/>
      <c r="AE12" s="84" t="s">
        <v>17</v>
      </c>
      <c r="AF12" s="84" t="s">
        <v>10</v>
      </c>
      <c r="AG12" s="84" t="s">
        <v>11</v>
      </c>
      <c r="AH12" s="84" t="s">
        <v>66</v>
      </c>
      <c r="AI12" s="84" t="s">
        <v>66</v>
      </c>
      <c r="AJ12" s="375"/>
      <c r="AK12" s="376"/>
      <c r="AL12" s="381"/>
      <c r="AM12" s="382"/>
      <c r="AN12" s="389" t="s">
        <v>17</v>
      </c>
      <c r="AO12" s="369"/>
      <c r="AP12" s="85"/>
      <c r="AQ12" s="369" t="s">
        <v>18</v>
      </c>
      <c r="AR12" s="390"/>
      <c r="AS12" s="81"/>
      <c r="AT12" s="81"/>
      <c r="AU12" s="81" t="s">
        <v>78</v>
      </c>
      <c r="AV12" s="81" t="s">
        <v>79</v>
      </c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 t="s">
        <v>138</v>
      </c>
      <c r="BM12" s="81" t="s">
        <v>139</v>
      </c>
      <c r="BN12" s="81" t="s">
        <v>79</v>
      </c>
      <c r="BO12" s="81" t="s">
        <v>140</v>
      </c>
      <c r="BP12" s="81" t="s">
        <v>141</v>
      </c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</row>
    <row r="13" spans="1:256" ht="15.6" x14ac:dyDescent="0.3">
      <c r="A13" s="86" t="s">
        <v>0</v>
      </c>
      <c r="B13" s="87" t="s">
        <v>1</v>
      </c>
      <c r="C13" s="88"/>
      <c r="D13" s="89"/>
      <c r="E13" s="88" t="s">
        <v>2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90"/>
      <c r="V13" s="91" t="s">
        <v>3</v>
      </c>
      <c r="W13" s="91" t="s">
        <v>4</v>
      </c>
      <c r="X13" s="91" t="s">
        <v>5</v>
      </c>
      <c r="Y13" s="92" t="s">
        <v>6</v>
      </c>
      <c r="Z13" s="93"/>
      <c r="AA13" s="94">
        <v>2</v>
      </c>
      <c r="AB13" s="95" t="s">
        <v>16</v>
      </c>
      <c r="AC13" s="94">
        <v>0</v>
      </c>
      <c r="AD13" s="96">
        <v>2</v>
      </c>
      <c r="AE13" s="97"/>
      <c r="AF13" s="97"/>
      <c r="AG13" s="98" t="s">
        <v>265</v>
      </c>
      <c r="AH13" s="99"/>
      <c r="AI13" s="99"/>
      <c r="AJ13" s="391" t="s">
        <v>17</v>
      </c>
      <c r="AK13" s="392"/>
      <c r="AL13" s="401">
        <v>12</v>
      </c>
      <c r="AM13" s="402"/>
      <c r="AN13" s="100"/>
      <c r="AO13" s="101">
        <f>IF(BQ13="","",IF(BQ13=$BL$10,"2"+AO1,IF(BQ13=$BM$10,"1"+AO1,IF(BQ13=$BN$10,"0"+AO1,IF(BQ13=$BO$10,"0"+AO1,IF(BQ13=$BP$10,"0"+AO1,"0"+AO1))))))</f>
        <v>1</v>
      </c>
      <c r="AP13" s="95" t="s">
        <v>16</v>
      </c>
      <c r="AQ13" s="102"/>
      <c r="AR13" s="103">
        <f>IF(BQ13="","",IF(BQ13=$BL$11,"2"+AR1,IF(BQ13=$BM$11,"1"+AR1,IF(BQ13=$BN$11,"0"+AR1,IF(BQ13=$BO$11,"0"+AR1,IF(BQ13=$BP$11,"0"+AR1,"0"+AR1))))))</f>
        <v>0</v>
      </c>
      <c r="AY13" s="38" t="str">
        <f>CONCATENATE(AJ13&amp;AL13)</f>
        <v>W12</v>
      </c>
      <c r="AZ13" s="38" t="str">
        <f>IF(AE13=$AW$11,"2","0")</f>
        <v>0</v>
      </c>
      <c r="BA13" s="38" t="str">
        <f>IF(AG13=$AW$11,"1","0")</f>
        <v>1</v>
      </c>
      <c r="BB13" s="38" t="str">
        <f>IF(AF13=$AW$11,"1","0")</f>
        <v>0</v>
      </c>
      <c r="BC13" s="38">
        <f>AZ13+BA13</f>
        <v>1</v>
      </c>
      <c r="BD13" s="38">
        <f>BB13+0</f>
        <v>0</v>
      </c>
      <c r="BL13" s="38" t="str">
        <f>IF(AE13="","",CONCATENATE($BL$12&amp;AJ13&amp;AE13))</f>
        <v/>
      </c>
      <c r="BM13" s="38" t="str">
        <f>IF(AG13="","",CONCATENATE($BM$12&amp;AJ13&amp;AG13))</f>
        <v>dWX</v>
      </c>
      <c r="BN13" s="38" t="str">
        <f>IF(AF13="","",CONCATENATE($BN$12&amp;AJ13,AF13))</f>
        <v/>
      </c>
      <c r="BO13" s="38" t="str">
        <f>IF(AH13="","",CONCATENATE($BO$12&amp;AJ13&amp;AH13))</f>
        <v/>
      </c>
      <c r="BP13" s="38" t="str">
        <f>IF(AI13="","",CONCATENATE($BP$12&amp;AJ13&amp;AI13))</f>
        <v/>
      </c>
      <c r="BQ13" s="38" t="str">
        <f>CONCATENATE(BL13&amp;BM13&amp;BN13&amp;BO13&amp;BP13)</f>
        <v>dWX</v>
      </c>
    </row>
    <row r="14" spans="1:256" ht="15.6" x14ac:dyDescent="0.3">
      <c r="A14" s="104"/>
      <c r="B14" s="397">
        <f>IF(ISBLANK(HLOOKUP($F$10,spelerslijsten!$B$1:$J$22,4,FALSE)),"",HLOOKUP($F$10,spelerslijsten!$B$1:$J$22,4,FALSE))</f>
        <v>2</v>
      </c>
      <c r="C14" s="398"/>
      <c r="D14" s="105"/>
      <c r="E14" s="106" t="str">
        <f>IF(ISBLANK(HLOOKUP($F$10,spelerslijsten!$B$1:$J$22,3,FALSE)),"",HLOOKUP($F$10,spelerslijsten!$B$1:$J$22,3,FALSE))</f>
        <v>Jop van Weel</v>
      </c>
      <c r="F14" s="107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8">
        <f t="shared" ref="V14:V20" si="0">SUMIF($AY$13:$AY$46,AT14,$BC$13:$BC$46)</f>
        <v>0</v>
      </c>
      <c r="W14" s="109" t="str">
        <f>IF(AU14&gt;0,"x","")</f>
        <v/>
      </c>
      <c r="X14" s="110" t="str">
        <f>IF(AU14&gt;1,"x","")</f>
        <v/>
      </c>
      <c r="Y14" s="103" t="str">
        <f>IF(AU14&gt;2,"x","")</f>
        <v/>
      </c>
      <c r="Z14" s="111"/>
      <c r="AA14" s="112">
        <v>3</v>
      </c>
      <c r="AB14" s="113" t="str">
        <f>+AB13</f>
        <v>-</v>
      </c>
      <c r="AC14" s="112">
        <v>0</v>
      </c>
      <c r="AD14" s="114">
        <v>0</v>
      </c>
      <c r="AE14" s="115"/>
      <c r="AF14" s="115"/>
      <c r="AG14" s="116" t="s">
        <v>265</v>
      </c>
      <c r="AH14" s="117"/>
      <c r="AI14" s="117"/>
      <c r="AJ14" s="342" t="s">
        <v>18</v>
      </c>
      <c r="AK14" s="343"/>
      <c r="AL14" s="346">
        <v>9</v>
      </c>
      <c r="AM14" s="347"/>
      <c r="AN14" s="118"/>
      <c r="AO14" s="101">
        <f>IF(BQ14="","",IF(BQ14=$BL$10,"2"+AO13,IF(BQ14=$BM$10,"1"+AO13,IF(BQ14=$BN$10,"0"+AO13,IF(BQ14=$BO$10,"0"+AO13,IF(BQ14=$BP$10,"0"+AO13,"0"+AO13))))))</f>
        <v>1</v>
      </c>
      <c r="AP14" s="113" t="str">
        <f>+AP13</f>
        <v>-</v>
      </c>
      <c r="AQ14" s="119"/>
      <c r="AR14" s="103">
        <f>IF(BQ14="","",IF(BQ14=$BL$11,"2"+AR13,IF(BQ14=$BM$11,"1"+AR13,IF(BQ14=$BN$11,"0"+AR13,IF(BQ14=$BO$11,"0"+AR13,IF(BQ14=$BP$11,"0"+AR13,"0"+AR13))))))</f>
        <v>1</v>
      </c>
      <c r="AT14" s="38" t="str">
        <f>CONCATENATE($AU$11&amp;B14)</f>
        <v>W2</v>
      </c>
      <c r="AU14" s="38">
        <f>SUMIF($AY$13:$AY$46,AT14,$BD$13:$BD$46)</f>
        <v>0</v>
      </c>
      <c r="AY14" s="38" t="str">
        <f t="shared" ref="AY14:AY46" si="1">CONCATENATE(AJ14&amp;AL14)</f>
        <v>B9</v>
      </c>
      <c r="AZ14" s="38" t="str">
        <f t="shared" ref="AZ14:AZ46" si="2">IF(AE14=$AW$11,"2","0")</f>
        <v>0</v>
      </c>
      <c r="BA14" s="38" t="str">
        <f t="shared" ref="BA14:BA46" si="3">IF(AG14=$AW$11,"1","0")</f>
        <v>1</v>
      </c>
      <c r="BB14" s="38" t="str">
        <f t="shared" ref="BB14:BB46" si="4">IF(AF14=$AW$11,"1","0")</f>
        <v>0</v>
      </c>
      <c r="BC14" s="38">
        <f t="shared" ref="BC14:BC46" si="5">AZ14+BA14</f>
        <v>1</v>
      </c>
      <c r="BD14" s="38">
        <f t="shared" ref="BD14:BD46" si="6">BB14+0</f>
        <v>0</v>
      </c>
      <c r="BL14" s="38" t="str">
        <f t="shared" ref="BL14:BL46" si="7">IF(AE14="","",CONCATENATE($BL$12&amp;AJ14&amp;AE14))</f>
        <v/>
      </c>
      <c r="BM14" s="38" t="str">
        <f t="shared" ref="BM14:BM46" si="8">IF(AG14="","",CONCATENATE($BM$12&amp;AJ14&amp;AG14))</f>
        <v>dBX</v>
      </c>
      <c r="BN14" s="38" t="str">
        <f t="shared" ref="BN14:BN46" si="9">IF(AF14="","",CONCATENATE($BN$12&amp;AJ14,AF14))</f>
        <v/>
      </c>
      <c r="BO14" s="38" t="str">
        <f t="shared" ref="BO14:BO46" si="10">IF(AH14="","",CONCATENATE($BO$12&amp;AJ14&amp;AH14))</f>
        <v/>
      </c>
      <c r="BP14" s="38" t="str">
        <f t="shared" ref="BP14:BP46" si="11">IF(AI14="","",CONCATENATE($BP$12&amp;AJ14&amp;AI14))</f>
        <v/>
      </c>
      <c r="BQ14" s="38" t="str">
        <f t="shared" ref="BQ14:BQ46" si="12">CONCATENATE(BL14&amp;BM14&amp;BN14&amp;BO14&amp;BP14)</f>
        <v>dBX</v>
      </c>
    </row>
    <row r="15" spans="1:256" ht="15.6" x14ac:dyDescent="0.3">
      <c r="A15" s="120"/>
      <c r="B15" s="397">
        <f>IF(ISBLANK(HLOOKUP($F$10,spelerslijsten!$B$1:$J$22,6,FALSE)),"",HLOOKUP($F$10,spelerslijsten!$B$1:$J$22,6,FALSE))</f>
        <v>3</v>
      </c>
      <c r="C15" s="398"/>
      <c r="D15" s="121"/>
      <c r="E15" s="122" t="str">
        <f>IF(ISBLANK(HLOOKUP($F$10,spelerslijsten!$B$1:$J$22,5,FALSE)),"",HLOOKUP($F$10,spelerslijsten!$B$1:$J$22,5,FALSE))</f>
        <v>Collin Bijnen</v>
      </c>
      <c r="F15" s="123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08">
        <f t="shared" si="0"/>
        <v>0</v>
      </c>
      <c r="W15" s="109" t="str">
        <f t="shared" ref="W15:W23" si="13">IF(AU15&gt;0,"x","")</f>
        <v/>
      </c>
      <c r="X15" s="110" t="str">
        <f t="shared" ref="X15:X23" si="14">IF(AU15&gt;1,"x","")</f>
        <v/>
      </c>
      <c r="Y15" s="103" t="str">
        <f t="shared" ref="Y15:Y23" si="15">IF(AU15&gt;2,"x","")</f>
        <v/>
      </c>
      <c r="Z15" s="111"/>
      <c r="AA15" s="112">
        <v>3</v>
      </c>
      <c r="AB15" s="113" t="str">
        <f t="shared" ref="AB15:AB44" si="16">+AB14</f>
        <v>-</v>
      </c>
      <c r="AC15" s="112">
        <v>2</v>
      </c>
      <c r="AD15" s="114">
        <v>3</v>
      </c>
      <c r="AE15" s="115"/>
      <c r="AF15" s="115"/>
      <c r="AG15" s="116" t="s">
        <v>265</v>
      </c>
      <c r="AH15" s="117"/>
      <c r="AI15" s="117"/>
      <c r="AJ15" s="342" t="s">
        <v>17</v>
      </c>
      <c r="AK15" s="343"/>
      <c r="AL15" s="346">
        <v>5</v>
      </c>
      <c r="AM15" s="347"/>
      <c r="AN15" s="118"/>
      <c r="AO15" s="101">
        <f>IF(BQ15="","",IF(BQ15=$BL$10,"2"+AO14,IF(BQ15=$BM$10,"1"+AO14,IF(BQ15=$BN$10,"0"+AO14,IF(BQ15=$BO$10,"0"+AO14,IF(BQ15=$BP$10,"0"+AO14,"0"+AO14))))))</f>
        <v>2</v>
      </c>
      <c r="AP15" s="113" t="str">
        <f>+AP14</f>
        <v>-</v>
      </c>
      <c r="AQ15" s="119"/>
      <c r="AR15" s="103">
        <f>IF(BQ15="","",IF(BQ15=$BL$11,"2"+AR14,IF(BQ15=$BM$11,"1"+AR14,IF(BQ15=$BN$11,"0"+AR14,IF(BQ15=$BO$11,"0"+AR14,IF(BQ15=$BP$11,"0"+AR14,"0"+AR14))))))</f>
        <v>1</v>
      </c>
      <c r="AT15" s="38" t="str">
        <f t="shared" ref="AT15:AT23" si="17">CONCATENATE($AU$11&amp;B15)</f>
        <v>W3</v>
      </c>
      <c r="AU15" s="38">
        <f t="shared" ref="AU15:AU39" si="18">SUMIF($AY$13:$AY$46,AT15,$BD$13:$BD$46)</f>
        <v>0</v>
      </c>
      <c r="AY15" s="38" t="str">
        <f t="shared" si="1"/>
        <v>W5</v>
      </c>
      <c r="AZ15" s="38" t="str">
        <f t="shared" si="2"/>
        <v>0</v>
      </c>
      <c r="BA15" s="38" t="str">
        <f t="shared" si="3"/>
        <v>1</v>
      </c>
      <c r="BB15" s="38" t="str">
        <f t="shared" si="4"/>
        <v>0</v>
      </c>
      <c r="BC15" s="38">
        <f t="shared" si="5"/>
        <v>1</v>
      </c>
      <c r="BD15" s="38">
        <f t="shared" si="6"/>
        <v>0</v>
      </c>
      <c r="BL15" s="38" t="str">
        <f t="shared" si="7"/>
        <v/>
      </c>
      <c r="BM15" s="38" t="str">
        <f t="shared" si="8"/>
        <v>dWX</v>
      </c>
      <c r="BN15" s="38" t="str">
        <f t="shared" si="9"/>
        <v/>
      </c>
      <c r="BO15" s="38" t="str">
        <f t="shared" si="10"/>
        <v/>
      </c>
      <c r="BP15" s="38" t="str">
        <f t="shared" si="11"/>
        <v/>
      </c>
      <c r="BQ15" s="38" t="str">
        <f t="shared" si="12"/>
        <v>dWX</v>
      </c>
    </row>
    <row r="16" spans="1:256" ht="15.6" x14ac:dyDescent="0.3">
      <c r="A16" s="124" t="s">
        <v>265</v>
      </c>
      <c r="B16" s="397">
        <f>IF(ISBLANK(HLOOKUP($F$10,spelerslijsten!$B$1:$J$22,8,FALSE)),"",HLOOKUP($F$10,spelerslijsten!$B$1:$J$22,8,FALSE))</f>
        <v>4</v>
      </c>
      <c r="C16" s="398"/>
      <c r="D16" s="121"/>
      <c r="E16" s="122" t="str">
        <f>IF(ISBLANK(HLOOKUP($F$10,spelerslijsten!$B$1:$J$22,7,FALSE)),"",HLOOKUP($F$10,spelerslijsten!$B$1:$J$22,7,FALSE))</f>
        <v>Lorenz Gerritz</v>
      </c>
      <c r="F16" s="12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08">
        <f t="shared" si="0"/>
        <v>0</v>
      </c>
      <c r="W16" s="109" t="str">
        <f t="shared" si="13"/>
        <v/>
      </c>
      <c r="X16" s="110" t="str">
        <f t="shared" si="14"/>
        <v/>
      </c>
      <c r="Y16" s="103" t="str">
        <f t="shared" si="15"/>
        <v/>
      </c>
      <c r="Z16" s="111"/>
      <c r="AA16" s="112">
        <v>4</v>
      </c>
      <c r="AB16" s="113" t="str">
        <f t="shared" si="16"/>
        <v>-</v>
      </c>
      <c r="AC16" s="112">
        <v>5</v>
      </c>
      <c r="AD16" s="114">
        <v>9</v>
      </c>
      <c r="AE16" s="115"/>
      <c r="AF16" s="115"/>
      <c r="AG16" s="116" t="s">
        <v>265</v>
      </c>
      <c r="AH16" s="117"/>
      <c r="AI16" s="117"/>
      <c r="AJ16" s="342" t="s">
        <v>17</v>
      </c>
      <c r="AK16" s="343"/>
      <c r="AL16" s="346">
        <v>12</v>
      </c>
      <c r="AM16" s="347"/>
      <c r="AN16" s="118"/>
      <c r="AO16" s="101">
        <f t="shared" ref="AO16:AO46" si="19">IF(BQ16="","",IF(BQ16=$BL$10,"2"+AO15,IF(BQ16=$BM$10,"1"+AO15,IF(BQ16=$BN$10,"0"+AO15,IF(BQ16=$BO$10,"0"+AO15,IF(BQ16=$BP$10,"0"+AO15,"0"+AO15))))))</f>
        <v>3</v>
      </c>
      <c r="AP16" s="113" t="str">
        <f t="shared" ref="AP16:AP46" si="20">+AP15</f>
        <v>-</v>
      </c>
      <c r="AQ16" s="119"/>
      <c r="AR16" s="103">
        <f t="shared" ref="AR16:AR46" si="21">IF(BQ16="","",IF(BQ16=$BL$11,"2"+AR15,IF(BQ16=$BM$11,"1"+AR15,IF(BQ16=$BN$11,"0"+AR15,IF(BQ16=$BO$11,"0"+AR15,IF(BQ16=$BP$11,"0"+AR15,"0"+AR15))))))</f>
        <v>1</v>
      </c>
      <c r="AT16" s="38" t="str">
        <f t="shared" si="17"/>
        <v>W4</v>
      </c>
      <c r="AU16" s="38">
        <f t="shared" si="18"/>
        <v>0</v>
      </c>
      <c r="AY16" s="38" t="str">
        <f t="shared" si="1"/>
        <v>W12</v>
      </c>
      <c r="AZ16" s="38" t="str">
        <f t="shared" si="2"/>
        <v>0</v>
      </c>
      <c r="BA16" s="38" t="str">
        <f t="shared" si="3"/>
        <v>1</v>
      </c>
      <c r="BB16" s="38" t="str">
        <f t="shared" si="4"/>
        <v>0</v>
      </c>
      <c r="BC16" s="38">
        <f t="shared" si="5"/>
        <v>1</v>
      </c>
      <c r="BD16" s="38">
        <f t="shared" si="6"/>
        <v>0</v>
      </c>
      <c r="BL16" s="38" t="str">
        <f t="shared" si="7"/>
        <v/>
      </c>
      <c r="BM16" s="38" t="str">
        <f t="shared" si="8"/>
        <v>dWX</v>
      </c>
      <c r="BN16" s="38" t="str">
        <f t="shared" si="9"/>
        <v/>
      </c>
      <c r="BO16" s="38" t="str">
        <f t="shared" si="10"/>
        <v/>
      </c>
      <c r="BP16" s="38" t="str">
        <f t="shared" si="11"/>
        <v/>
      </c>
      <c r="BQ16" s="38" t="str">
        <f t="shared" si="12"/>
        <v>dWX</v>
      </c>
    </row>
    <row r="17" spans="1:69" ht="15.6" x14ac:dyDescent="0.3">
      <c r="A17" s="124" t="s">
        <v>265</v>
      </c>
      <c r="B17" s="397">
        <f>IF(ISBLANK(HLOOKUP($F$10,spelerslijsten!$B$1:$J$22,10,FALSE)),"",HLOOKUP($F$10,spelerslijsten!$B$1:$J$22,10,FALSE))</f>
        <v>5</v>
      </c>
      <c r="C17" s="398"/>
      <c r="D17" s="121"/>
      <c r="E17" s="122" t="str">
        <f>IF(ISBLANK(HLOOKUP($F$10,spelerslijsten!$B$1:$J$22,9,FALSE)),"",HLOOKUP($F$10,spelerslijsten!$B$1:$J$22,9,FALSE))</f>
        <v>Maritz</v>
      </c>
      <c r="F17" s="12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08">
        <f t="shared" si="0"/>
        <v>3</v>
      </c>
      <c r="W17" s="109" t="str">
        <f t="shared" si="13"/>
        <v/>
      </c>
      <c r="X17" s="110" t="str">
        <f t="shared" si="14"/>
        <v/>
      </c>
      <c r="Y17" s="103" t="str">
        <f t="shared" si="15"/>
        <v/>
      </c>
      <c r="Z17" s="111"/>
      <c r="AA17" s="112">
        <v>6</v>
      </c>
      <c r="AB17" s="113" t="str">
        <f t="shared" si="16"/>
        <v>-</v>
      </c>
      <c r="AC17" s="112">
        <v>5</v>
      </c>
      <c r="AD17" s="114">
        <v>0</v>
      </c>
      <c r="AE17" s="115"/>
      <c r="AF17" s="115"/>
      <c r="AG17" s="116" t="s">
        <v>265</v>
      </c>
      <c r="AH17" s="117"/>
      <c r="AI17" s="117"/>
      <c r="AJ17" s="342" t="s">
        <v>17</v>
      </c>
      <c r="AK17" s="343"/>
      <c r="AL17" s="346">
        <v>13</v>
      </c>
      <c r="AM17" s="347"/>
      <c r="AN17" s="118"/>
      <c r="AO17" s="101">
        <f t="shared" si="19"/>
        <v>4</v>
      </c>
      <c r="AP17" s="113" t="str">
        <f t="shared" si="20"/>
        <v>-</v>
      </c>
      <c r="AQ17" s="119"/>
      <c r="AR17" s="103">
        <f t="shared" si="21"/>
        <v>1</v>
      </c>
      <c r="AT17" s="38" t="str">
        <f t="shared" si="17"/>
        <v>W5</v>
      </c>
      <c r="AU17" s="38">
        <f t="shared" si="18"/>
        <v>0</v>
      </c>
      <c r="AY17" s="38" t="str">
        <f t="shared" si="1"/>
        <v>W13</v>
      </c>
      <c r="AZ17" s="38" t="str">
        <f t="shared" si="2"/>
        <v>0</v>
      </c>
      <c r="BA17" s="38" t="str">
        <f t="shared" si="3"/>
        <v>1</v>
      </c>
      <c r="BB17" s="38" t="str">
        <f t="shared" si="4"/>
        <v>0</v>
      </c>
      <c r="BC17" s="38">
        <f t="shared" si="5"/>
        <v>1</v>
      </c>
      <c r="BD17" s="38">
        <f t="shared" si="6"/>
        <v>0</v>
      </c>
      <c r="BL17" s="38" t="str">
        <f t="shared" si="7"/>
        <v/>
      </c>
      <c r="BM17" s="38" t="str">
        <f t="shared" si="8"/>
        <v>dWX</v>
      </c>
      <c r="BN17" s="38" t="str">
        <f t="shared" si="9"/>
        <v/>
      </c>
      <c r="BO17" s="38" t="str">
        <f t="shared" si="10"/>
        <v/>
      </c>
      <c r="BP17" s="38" t="str">
        <f t="shared" si="11"/>
        <v/>
      </c>
      <c r="BQ17" s="38" t="str">
        <f t="shared" si="12"/>
        <v>dWX</v>
      </c>
    </row>
    <row r="18" spans="1:69" ht="15.6" x14ac:dyDescent="0.3">
      <c r="A18" s="124"/>
      <c r="B18" s="397">
        <f>IF(ISBLANK(HLOOKUP($F$10,spelerslijsten!$B$1:$J$22,12,FALSE)),"",HLOOKUP($F$10,spelerslijsten!$B$1:$J$22,12,FALSE))</f>
        <v>7</v>
      </c>
      <c r="C18" s="398"/>
      <c r="D18" s="121"/>
      <c r="E18" s="122" t="str">
        <f>IF(ISBLANK(HLOOKUP($F$10,spelerslijsten!$B$1:$J$22,11,FALSE)),"",HLOOKUP($F$10,spelerslijsten!$B$1:$J$22,11,FALSE))</f>
        <v>Doan Tran Thi Tuc</v>
      </c>
      <c r="F18" s="12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08">
        <f t="shared" si="0"/>
        <v>0</v>
      </c>
      <c r="W18" s="109" t="str">
        <f t="shared" si="13"/>
        <v/>
      </c>
      <c r="X18" s="110" t="str">
        <f t="shared" si="14"/>
        <v/>
      </c>
      <c r="Y18" s="103" t="str">
        <f t="shared" si="15"/>
        <v/>
      </c>
      <c r="Z18" s="111"/>
      <c r="AA18" s="112">
        <v>7</v>
      </c>
      <c r="AB18" s="113" t="s">
        <v>16</v>
      </c>
      <c r="AC18" s="112">
        <v>5</v>
      </c>
      <c r="AD18" s="114">
        <v>6</v>
      </c>
      <c r="AE18" s="115"/>
      <c r="AF18" s="115"/>
      <c r="AG18" s="116" t="s">
        <v>265</v>
      </c>
      <c r="AH18" s="117"/>
      <c r="AI18" s="117"/>
      <c r="AJ18" s="342" t="s">
        <v>17</v>
      </c>
      <c r="AK18" s="343"/>
      <c r="AL18" s="346">
        <v>5</v>
      </c>
      <c r="AM18" s="347"/>
      <c r="AN18" s="118"/>
      <c r="AO18" s="101">
        <f t="shared" si="19"/>
        <v>5</v>
      </c>
      <c r="AP18" s="113" t="str">
        <f t="shared" si="20"/>
        <v>-</v>
      </c>
      <c r="AQ18" s="119"/>
      <c r="AR18" s="103">
        <f t="shared" si="21"/>
        <v>1</v>
      </c>
      <c r="AT18" s="38" t="str">
        <f t="shared" si="17"/>
        <v>W7</v>
      </c>
      <c r="AU18" s="38">
        <f t="shared" si="18"/>
        <v>0</v>
      </c>
      <c r="AY18" s="38" t="str">
        <f t="shared" si="1"/>
        <v>W5</v>
      </c>
      <c r="AZ18" s="38" t="str">
        <f t="shared" si="2"/>
        <v>0</v>
      </c>
      <c r="BA18" s="38" t="str">
        <f t="shared" si="3"/>
        <v>1</v>
      </c>
      <c r="BB18" s="38" t="str">
        <f t="shared" si="4"/>
        <v>0</v>
      </c>
      <c r="BC18" s="38">
        <f t="shared" si="5"/>
        <v>1</v>
      </c>
      <c r="BD18" s="38">
        <f t="shared" si="6"/>
        <v>0</v>
      </c>
      <c r="BL18" s="38" t="str">
        <f t="shared" si="7"/>
        <v/>
      </c>
      <c r="BM18" s="38" t="str">
        <f t="shared" si="8"/>
        <v>dWX</v>
      </c>
      <c r="BN18" s="38" t="str">
        <f t="shared" si="9"/>
        <v/>
      </c>
      <c r="BO18" s="38" t="str">
        <f t="shared" si="10"/>
        <v/>
      </c>
      <c r="BP18" s="38" t="str">
        <f t="shared" si="11"/>
        <v/>
      </c>
      <c r="BQ18" s="38" t="str">
        <f t="shared" si="12"/>
        <v>dWX</v>
      </c>
    </row>
    <row r="19" spans="1:69" ht="15.6" x14ac:dyDescent="0.3">
      <c r="A19" s="124" t="s">
        <v>265</v>
      </c>
      <c r="B19" s="397">
        <f>IF(ISBLANK(HLOOKUP($F$10,spelerslijsten!$B$1:$J$22,14,FALSE)),"",HLOOKUP($F$10,spelerslijsten!$B$1:$J$22,14,FALSE))</f>
        <v>8</v>
      </c>
      <c r="C19" s="398"/>
      <c r="D19" s="121"/>
      <c r="E19" s="122" t="str">
        <f>IF(ISBLANK(HLOOKUP($F$10,spelerslijsten!$B$1:$J$22,13,FALSE)),"",HLOOKUP($F$10,spelerslijsten!$B$1:$J$22,13,FALSE))</f>
        <v>Lisa</v>
      </c>
      <c r="F19" s="12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08">
        <f t="shared" si="0"/>
        <v>0</v>
      </c>
      <c r="W19" s="109" t="str">
        <f t="shared" si="13"/>
        <v/>
      </c>
      <c r="X19" s="110" t="str">
        <f t="shared" si="14"/>
        <v/>
      </c>
      <c r="Y19" s="103" t="str">
        <f t="shared" si="15"/>
        <v/>
      </c>
      <c r="Z19" s="111"/>
      <c r="AA19" s="112">
        <v>9</v>
      </c>
      <c r="AB19" s="113" t="str">
        <f t="shared" si="16"/>
        <v>-</v>
      </c>
      <c r="AC19" s="112">
        <v>1</v>
      </c>
      <c r="AD19" s="114">
        <v>4</v>
      </c>
      <c r="AE19" s="115"/>
      <c r="AF19" s="115"/>
      <c r="AG19" s="116" t="s">
        <v>265</v>
      </c>
      <c r="AH19" s="117"/>
      <c r="AI19" s="117"/>
      <c r="AJ19" s="342" t="s">
        <v>18</v>
      </c>
      <c r="AK19" s="343"/>
      <c r="AL19" s="346">
        <v>7</v>
      </c>
      <c r="AM19" s="347"/>
      <c r="AN19" s="118"/>
      <c r="AO19" s="101">
        <f t="shared" si="19"/>
        <v>5</v>
      </c>
      <c r="AP19" s="113" t="str">
        <f t="shared" si="20"/>
        <v>-</v>
      </c>
      <c r="AQ19" s="119"/>
      <c r="AR19" s="103">
        <f t="shared" si="21"/>
        <v>2</v>
      </c>
      <c r="AT19" s="38" t="str">
        <f t="shared" si="17"/>
        <v>W8</v>
      </c>
      <c r="AU19" s="38">
        <f t="shared" si="18"/>
        <v>0</v>
      </c>
      <c r="AY19" s="38" t="str">
        <f t="shared" si="1"/>
        <v>B7</v>
      </c>
      <c r="AZ19" s="38" t="str">
        <f t="shared" si="2"/>
        <v>0</v>
      </c>
      <c r="BA19" s="38" t="str">
        <f t="shared" si="3"/>
        <v>1</v>
      </c>
      <c r="BB19" s="38" t="str">
        <f t="shared" si="4"/>
        <v>0</v>
      </c>
      <c r="BC19" s="38">
        <f t="shared" si="5"/>
        <v>1</v>
      </c>
      <c r="BD19" s="38">
        <f t="shared" si="6"/>
        <v>0</v>
      </c>
      <c r="BL19" s="38" t="str">
        <f t="shared" si="7"/>
        <v/>
      </c>
      <c r="BM19" s="38" t="str">
        <f t="shared" si="8"/>
        <v>dBX</v>
      </c>
      <c r="BN19" s="38" t="str">
        <f t="shared" si="9"/>
        <v/>
      </c>
      <c r="BO19" s="38" t="str">
        <f t="shared" si="10"/>
        <v/>
      </c>
      <c r="BP19" s="38" t="str">
        <f t="shared" si="11"/>
        <v/>
      </c>
      <c r="BQ19" s="38" t="str">
        <f t="shared" si="12"/>
        <v>dBX</v>
      </c>
    </row>
    <row r="20" spans="1:69" ht="15.6" x14ac:dyDescent="0.3">
      <c r="A20" s="124" t="s">
        <v>265</v>
      </c>
      <c r="B20" s="397">
        <f>IF(ISBLANK(HLOOKUP($F$10,spelerslijsten!$B$1:$J$22,16,FALSE)),"",HLOOKUP($F$10,spelerslijsten!$B$1:$J$22,16,FALSE))</f>
        <v>9</v>
      </c>
      <c r="C20" s="398"/>
      <c r="D20" s="121"/>
      <c r="E20" s="122" t="str">
        <f>IF(ISBLANK(HLOOKUP($F$10,spelerslijsten!$B$1:$J$22,15,FALSE)),"",HLOOKUP($F$10,spelerslijsten!$B$1:$J$22,15,FALSE))</f>
        <v>Mo</v>
      </c>
      <c r="F20" s="12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08">
        <f t="shared" si="0"/>
        <v>0</v>
      </c>
      <c r="W20" s="109" t="str">
        <f t="shared" si="13"/>
        <v/>
      </c>
      <c r="X20" s="110" t="str">
        <f t="shared" si="14"/>
        <v/>
      </c>
      <c r="Y20" s="103" t="str">
        <f t="shared" si="15"/>
        <v/>
      </c>
      <c r="Z20" s="111">
        <v>1</v>
      </c>
      <c r="AA20" s="112">
        <v>0</v>
      </c>
      <c r="AB20" s="113" t="str">
        <f t="shared" si="16"/>
        <v>-</v>
      </c>
      <c r="AC20" s="112">
        <v>0</v>
      </c>
      <c r="AD20" s="114">
        <v>9</v>
      </c>
      <c r="AE20" s="115"/>
      <c r="AF20" s="115"/>
      <c r="AG20" s="116" t="s">
        <v>265</v>
      </c>
      <c r="AH20" s="117"/>
      <c r="AI20" s="117"/>
      <c r="AJ20" s="342" t="s">
        <v>18</v>
      </c>
      <c r="AK20" s="343"/>
      <c r="AL20" s="346">
        <v>7</v>
      </c>
      <c r="AM20" s="347"/>
      <c r="AN20" s="118"/>
      <c r="AO20" s="101">
        <f t="shared" si="19"/>
        <v>5</v>
      </c>
      <c r="AP20" s="113" t="str">
        <f t="shared" si="20"/>
        <v>-</v>
      </c>
      <c r="AQ20" s="119"/>
      <c r="AR20" s="103">
        <f t="shared" si="21"/>
        <v>3</v>
      </c>
      <c r="AT20" s="38" t="str">
        <f t="shared" si="17"/>
        <v>W9</v>
      </c>
      <c r="AU20" s="38">
        <f t="shared" si="18"/>
        <v>0</v>
      </c>
      <c r="AY20" s="38" t="str">
        <f t="shared" si="1"/>
        <v>B7</v>
      </c>
      <c r="AZ20" s="38" t="str">
        <f t="shared" si="2"/>
        <v>0</v>
      </c>
      <c r="BA20" s="38" t="str">
        <f t="shared" si="3"/>
        <v>1</v>
      </c>
      <c r="BB20" s="38" t="str">
        <f t="shared" si="4"/>
        <v>0</v>
      </c>
      <c r="BC20" s="38">
        <f t="shared" si="5"/>
        <v>1</v>
      </c>
      <c r="BD20" s="38">
        <f t="shared" si="6"/>
        <v>0</v>
      </c>
      <c r="BL20" s="38" t="str">
        <f t="shared" si="7"/>
        <v/>
      </c>
      <c r="BM20" s="38" t="str">
        <f t="shared" si="8"/>
        <v>dBX</v>
      </c>
      <c r="BN20" s="38" t="str">
        <f t="shared" si="9"/>
        <v/>
      </c>
      <c r="BO20" s="38" t="str">
        <f t="shared" si="10"/>
        <v/>
      </c>
      <c r="BP20" s="38" t="str">
        <f t="shared" si="11"/>
        <v/>
      </c>
      <c r="BQ20" s="38" t="str">
        <f t="shared" si="12"/>
        <v>dBX</v>
      </c>
    </row>
    <row r="21" spans="1:69" ht="15.6" x14ac:dyDescent="0.3">
      <c r="A21" s="124" t="s">
        <v>265</v>
      </c>
      <c r="B21" s="397">
        <f>IF(ISBLANK(HLOOKUP($F$10,spelerslijsten!$B$1:$J$22,18,FALSE)),"",HLOOKUP($F$10,spelerslijsten!$B$1:$J$22,18,FALSE))</f>
        <v>12</v>
      </c>
      <c r="C21" s="398"/>
      <c r="D21" s="121"/>
      <c r="E21" s="122" t="str">
        <f>IF(ISBLANK(HLOOKUP($F$10,spelerslijsten!$B$1:$J$22,17,FALSE)),"",HLOOKUP($F$10,spelerslijsten!$B$1:$J$22,17,FALSE))</f>
        <v>Siemen Pouwels</v>
      </c>
      <c r="F21" s="12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08">
        <f>SUMIF($AY$13:$AY$46,AT21,$BC$13:$BC$46)</f>
        <v>3</v>
      </c>
      <c r="W21" s="109" t="str">
        <f t="shared" si="13"/>
        <v/>
      </c>
      <c r="X21" s="110" t="str">
        <f t="shared" si="14"/>
        <v/>
      </c>
      <c r="Y21" s="103" t="str">
        <f t="shared" si="15"/>
        <v/>
      </c>
      <c r="Z21" s="111">
        <v>1</v>
      </c>
      <c r="AA21" s="112">
        <v>1</v>
      </c>
      <c r="AB21" s="113" t="str">
        <f t="shared" si="16"/>
        <v>-</v>
      </c>
      <c r="AC21" s="112">
        <v>0</v>
      </c>
      <c r="AD21" s="114">
        <v>9</v>
      </c>
      <c r="AE21" s="115"/>
      <c r="AF21" s="115"/>
      <c r="AG21" s="116" t="s">
        <v>265</v>
      </c>
      <c r="AH21" s="117"/>
      <c r="AI21" s="117"/>
      <c r="AJ21" s="342" t="s">
        <v>17</v>
      </c>
      <c r="AK21" s="343"/>
      <c r="AL21" s="346">
        <v>12</v>
      </c>
      <c r="AM21" s="347"/>
      <c r="AN21" s="118"/>
      <c r="AO21" s="101">
        <f t="shared" si="19"/>
        <v>6</v>
      </c>
      <c r="AP21" s="113" t="str">
        <f t="shared" si="20"/>
        <v>-</v>
      </c>
      <c r="AQ21" s="119"/>
      <c r="AR21" s="103">
        <f t="shared" si="21"/>
        <v>3</v>
      </c>
      <c r="AT21" s="38" t="str">
        <f t="shared" si="17"/>
        <v>W12</v>
      </c>
      <c r="AU21" s="38">
        <f t="shared" si="18"/>
        <v>0</v>
      </c>
      <c r="AY21" s="38" t="str">
        <f t="shared" si="1"/>
        <v>W12</v>
      </c>
      <c r="AZ21" s="38" t="str">
        <f t="shared" si="2"/>
        <v>0</v>
      </c>
      <c r="BA21" s="38" t="str">
        <f t="shared" si="3"/>
        <v>1</v>
      </c>
      <c r="BB21" s="38" t="str">
        <f t="shared" si="4"/>
        <v>0</v>
      </c>
      <c r="BC21" s="38">
        <f t="shared" si="5"/>
        <v>1</v>
      </c>
      <c r="BD21" s="38">
        <f t="shared" si="6"/>
        <v>0</v>
      </c>
      <c r="BL21" s="38" t="str">
        <f t="shared" si="7"/>
        <v/>
      </c>
      <c r="BM21" s="38" t="str">
        <f t="shared" si="8"/>
        <v>dWX</v>
      </c>
      <c r="BN21" s="38" t="str">
        <f t="shared" si="9"/>
        <v/>
      </c>
      <c r="BO21" s="38" t="str">
        <f t="shared" si="10"/>
        <v/>
      </c>
      <c r="BP21" s="38" t="str">
        <f t="shared" si="11"/>
        <v/>
      </c>
      <c r="BQ21" s="38" t="str">
        <f t="shared" si="12"/>
        <v>dWX</v>
      </c>
    </row>
    <row r="22" spans="1:69" ht="15.6" x14ac:dyDescent="0.3">
      <c r="A22" s="124" t="s">
        <v>265</v>
      </c>
      <c r="B22" s="397">
        <f>IF(ISBLANK(HLOOKUP($F$10,spelerslijsten!$B$1:$J$22,20,FALSE)),"",HLOOKUP($F$10,spelerslijsten!$B$1:$J$22,20,FALSE))</f>
        <v>13</v>
      </c>
      <c r="C22" s="398"/>
      <c r="D22" s="121"/>
      <c r="E22" s="122" t="str">
        <f>IF(ISBLANK(HLOOKUP($F$10,spelerslijsten!$B$1:$J$22,19,FALSE)),"",HLOOKUP($F$10,spelerslijsten!$B$1:$J$22,19,FALSE))</f>
        <v>Mark van der Heijden (leen)</v>
      </c>
      <c r="F22" s="12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08">
        <f t="shared" ref="V22:V23" si="22">SUMIF($AY$13:$AY$46,AT22,$BC$13:$BC$46)</f>
        <v>1</v>
      </c>
      <c r="W22" s="109" t="str">
        <f t="shared" si="13"/>
        <v/>
      </c>
      <c r="X22" s="110" t="str">
        <f t="shared" si="14"/>
        <v/>
      </c>
      <c r="Y22" s="103" t="str">
        <f t="shared" si="15"/>
        <v/>
      </c>
      <c r="Z22" s="111">
        <v>1</v>
      </c>
      <c r="AA22" s="112">
        <v>2</v>
      </c>
      <c r="AB22" s="113" t="str">
        <f t="shared" si="16"/>
        <v>-</v>
      </c>
      <c r="AC22" s="112">
        <v>0</v>
      </c>
      <c r="AD22" s="114">
        <v>0</v>
      </c>
      <c r="AE22" s="115"/>
      <c r="AF22" s="115"/>
      <c r="AG22" s="116" t="s">
        <v>265</v>
      </c>
      <c r="AH22" s="117"/>
      <c r="AI22" s="117"/>
      <c r="AJ22" s="342" t="s">
        <v>18</v>
      </c>
      <c r="AK22" s="343"/>
      <c r="AL22" s="346">
        <v>7</v>
      </c>
      <c r="AM22" s="347"/>
      <c r="AN22" s="118"/>
      <c r="AO22" s="101">
        <f t="shared" si="19"/>
        <v>6</v>
      </c>
      <c r="AP22" s="113" t="str">
        <f t="shared" si="20"/>
        <v>-</v>
      </c>
      <c r="AQ22" s="119"/>
      <c r="AR22" s="103">
        <f t="shared" si="21"/>
        <v>4</v>
      </c>
      <c r="AT22" s="38" t="str">
        <f t="shared" si="17"/>
        <v>W13</v>
      </c>
      <c r="AU22" s="38">
        <f t="shared" si="18"/>
        <v>0</v>
      </c>
      <c r="AY22" s="38" t="str">
        <f t="shared" si="1"/>
        <v>B7</v>
      </c>
      <c r="AZ22" s="38" t="str">
        <f t="shared" si="2"/>
        <v>0</v>
      </c>
      <c r="BA22" s="38" t="str">
        <f t="shared" si="3"/>
        <v>1</v>
      </c>
      <c r="BB22" s="38" t="str">
        <f t="shared" si="4"/>
        <v>0</v>
      </c>
      <c r="BC22" s="38">
        <f t="shared" si="5"/>
        <v>1</v>
      </c>
      <c r="BD22" s="38">
        <f t="shared" si="6"/>
        <v>0</v>
      </c>
      <c r="BL22" s="38" t="str">
        <f t="shared" si="7"/>
        <v/>
      </c>
      <c r="BM22" s="38" t="str">
        <f t="shared" si="8"/>
        <v>dBX</v>
      </c>
      <c r="BN22" s="38" t="str">
        <f t="shared" si="9"/>
        <v/>
      </c>
      <c r="BO22" s="38" t="str">
        <f t="shared" si="10"/>
        <v/>
      </c>
      <c r="BP22" s="38" t="str">
        <f t="shared" si="11"/>
        <v/>
      </c>
      <c r="BQ22" s="38" t="str">
        <f t="shared" si="12"/>
        <v>dBX</v>
      </c>
    </row>
    <row r="23" spans="1:69" ht="15.6" x14ac:dyDescent="0.3">
      <c r="A23" s="125"/>
      <c r="B23" s="397" t="str">
        <f>IF(ISBLANK(HLOOKUP($F$10,spelerslijsten!$B$1:$J$22,22,FALSE)),"",HLOOKUP($F$10,spelerslijsten!$B$1:$J$22,22,FALSE))</f>
        <v/>
      </c>
      <c r="C23" s="398"/>
      <c r="D23" s="126"/>
      <c r="E23" s="259" t="str">
        <f>IF(ISBLANK(HLOOKUP($F$10,spelerslijsten!$B$1:$J$22,21,FALSE)),"",HLOOKUP($F$10,spelerslijsten!$B$1:$J$22,21,FALSE))</f>
        <v/>
      </c>
      <c r="F23" s="126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08">
        <f t="shared" si="22"/>
        <v>0</v>
      </c>
      <c r="W23" s="109" t="str">
        <f t="shared" si="13"/>
        <v/>
      </c>
      <c r="X23" s="110" t="str">
        <f t="shared" si="14"/>
        <v/>
      </c>
      <c r="Y23" s="103" t="str">
        <f t="shared" si="15"/>
        <v/>
      </c>
      <c r="Z23" s="111">
        <v>1</v>
      </c>
      <c r="AA23" s="112">
        <v>2</v>
      </c>
      <c r="AB23" s="113" t="str">
        <f t="shared" si="16"/>
        <v>-</v>
      </c>
      <c r="AC23" s="112">
        <v>3</v>
      </c>
      <c r="AD23" s="114">
        <v>0</v>
      </c>
      <c r="AE23" s="115"/>
      <c r="AF23" s="115"/>
      <c r="AG23" s="116" t="s">
        <v>265</v>
      </c>
      <c r="AH23" s="117"/>
      <c r="AI23" s="117"/>
      <c r="AJ23" s="342" t="s">
        <v>18</v>
      </c>
      <c r="AK23" s="343"/>
      <c r="AL23" s="346">
        <v>9</v>
      </c>
      <c r="AM23" s="347"/>
      <c r="AN23" s="118"/>
      <c r="AO23" s="101">
        <f t="shared" si="19"/>
        <v>6</v>
      </c>
      <c r="AP23" s="113" t="str">
        <f t="shared" si="20"/>
        <v>-</v>
      </c>
      <c r="AQ23" s="119"/>
      <c r="AR23" s="103">
        <f t="shared" si="21"/>
        <v>5</v>
      </c>
      <c r="AT23" s="38" t="str">
        <f t="shared" si="17"/>
        <v>W</v>
      </c>
      <c r="AU23" s="38">
        <f t="shared" si="18"/>
        <v>0</v>
      </c>
      <c r="AY23" s="38" t="str">
        <f t="shared" si="1"/>
        <v>B9</v>
      </c>
      <c r="AZ23" s="38" t="str">
        <f t="shared" si="2"/>
        <v>0</v>
      </c>
      <c r="BA23" s="38" t="str">
        <f t="shared" si="3"/>
        <v>1</v>
      </c>
      <c r="BB23" s="38" t="str">
        <f t="shared" si="4"/>
        <v>0</v>
      </c>
      <c r="BC23" s="38">
        <f t="shared" si="5"/>
        <v>1</v>
      </c>
      <c r="BD23" s="38">
        <f t="shared" si="6"/>
        <v>0</v>
      </c>
      <c r="BL23" s="38" t="str">
        <f t="shared" si="7"/>
        <v/>
      </c>
      <c r="BM23" s="38" t="str">
        <f t="shared" si="8"/>
        <v>dBX</v>
      </c>
      <c r="BN23" s="38" t="str">
        <f t="shared" si="9"/>
        <v/>
      </c>
      <c r="BO23" s="38" t="str">
        <f t="shared" si="10"/>
        <v/>
      </c>
      <c r="BP23" s="38" t="str">
        <f t="shared" si="11"/>
        <v/>
      </c>
      <c r="BQ23" s="38" t="str">
        <f t="shared" si="12"/>
        <v>dBX</v>
      </c>
    </row>
    <row r="24" spans="1:69" ht="16.2" thickBot="1" x14ac:dyDescent="0.35">
      <c r="A24" s="71" t="s">
        <v>67</v>
      </c>
      <c r="B24" s="72"/>
      <c r="C24" s="72"/>
      <c r="D24" s="72"/>
      <c r="E24" s="72"/>
      <c r="F24" s="72"/>
      <c r="G24" s="72"/>
      <c r="I24" s="399">
        <f>HLOOKUP(F10,spelerslijsten!B1:J25,25,FALSE)</f>
        <v>0</v>
      </c>
      <c r="J24" s="400"/>
      <c r="K24" s="74" t="s">
        <v>23</v>
      </c>
      <c r="L24" s="72"/>
      <c r="M24" s="72"/>
      <c r="N24" s="129" t="str">
        <f>HLOOKUP(F10,spelerslijsten!B1:J25,23,FALSE)</f>
        <v>Eric Gabriel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30"/>
      <c r="Z24" s="131">
        <v>1</v>
      </c>
      <c r="AA24" s="132">
        <v>2</v>
      </c>
      <c r="AB24" s="133" t="str">
        <f t="shared" si="16"/>
        <v>-</v>
      </c>
      <c r="AC24" s="132">
        <v>5</v>
      </c>
      <c r="AD24" s="134">
        <v>5</v>
      </c>
      <c r="AE24" s="135"/>
      <c r="AF24" s="135"/>
      <c r="AG24" s="136" t="s">
        <v>265</v>
      </c>
      <c r="AH24" s="137"/>
      <c r="AI24" s="137"/>
      <c r="AJ24" s="342" t="s">
        <v>17</v>
      </c>
      <c r="AK24" s="343"/>
      <c r="AL24" s="350">
        <v>5</v>
      </c>
      <c r="AM24" s="351"/>
      <c r="AN24" s="138"/>
      <c r="AO24" s="101">
        <f t="shared" si="19"/>
        <v>7</v>
      </c>
      <c r="AP24" s="113" t="str">
        <f t="shared" si="20"/>
        <v>-</v>
      </c>
      <c r="AQ24" s="119"/>
      <c r="AR24" s="103">
        <f t="shared" si="21"/>
        <v>5</v>
      </c>
      <c r="AY24" s="38" t="str">
        <f t="shared" si="1"/>
        <v>W5</v>
      </c>
      <c r="AZ24" s="38" t="str">
        <f t="shared" si="2"/>
        <v>0</v>
      </c>
      <c r="BA24" s="38" t="str">
        <f t="shared" si="3"/>
        <v>1</v>
      </c>
      <c r="BB24" s="38" t="str">
        <f t="shared" si="4"/>
        <v>0</v>
      </c>
      <c r="BC24" s="38">
        <f t="shared" si="5"/>
        <v>1</v>
      </c>
      <c r="BD24" s="38">
        <f t="shared" si="6"/>
        <v>0</v>
      </c>
      <c r="BL24" s="38" t="str">
        <f t="shared" si="7"/>
        <v/>
      </c>
      <c r="BM24" s="38" t="str">
        <f t="shared" si="8"/>
        <v>dWX</v>
      </c>
      <c r="BN24" s="38" t="str">
        <f t="shared" si="9"/>
        <v/>
      </c>
      <c r="BO24" s="38" t="str">
        <f t="shared" si="10"/>
        <v/>
      </c>
      <c r="BP24" s="38" t="str">
        <f t="shared" si="11"/>
        <v/>
      </c>
      <c r="BQ24" s="38" t="str">
        <f t="shared" si="12"/>
        <v>dWX</v>
      </c>
    </row>
    <row r="25" spans="1:69" ht="15" customHeight="1" x14ac:dyDescent="0.3">
      <c r="A25" s="78" t="s">
        <v>60</v>
      </c>
      <c r="B25" s="79"/>
      <c r="C25" s="79"/>
      <c r="D25" s="79"/>
      <c r="E25" s="79"/>
      <c r="F25" s="356" t="str">
        <f>+AC7</f>
        <v>RZ Roermond</v>
      </c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7"/>
      <c r="Z25" s="139">
        <v>1</v>
      </c>
      <c r="AA25" s="140">
        <v>4</v>
      </c>
      <c r="AB25" s="141" t="str">
        <f t="shared" si="16"/>
        <v>-</v>
      </c>
      <c r="AC25" s="140">
        <v>0</v>
      </c>
      <c r="AD25" s="142">
        <v>0</v>
      </c>
      <c r="AE25" s="143"/>
      <c r="AF25" s="143"/>
      <c r="AG25" s="144" t="s">
        <v>265</v>
      </c>
      <c r="AH25" s="145"/>
      <c r="AI25" s="145"/>
      <c r="AJ25" s="342" t="s">
        <v>18</v>
      </c>
      <c r="AK25" s="343"/>
      <c r="AL25" s="346">
        <v>9</v>
      </c>
      <c r="AM25" s="347"/>
      <c r="AN25" s="146"/>
      <c r="AO25" s="101">
        <f t="shared" si="19"/>
        <v>7</v>
      </c>
      <c r="AP25" s="113" t="str">
        <f t="shared" si="20"/>
        <v>-</v>
      </c>
      <c r="AQ25" s="119"/>
      <c r="AR25" s="103">
        <f t="shared" si="21"/>
        <v>6</v>
      </c>
      <c r="AY25" s="38" t="str">
        <f t="shared" si="1"/>
        <v>B9</v>
      </c>
      <c r="AZ25" s="38" t="str">
        <f t="shared" si="2"/>
        <v>0</v>
      </c>
      <c r="BA25" s="38" t="str">
        <f t="shared" si="3"/>
        <v>1</v>
      </c>
      <c r="BB25" s="38" t="str">
        <f t="shared" si="4"/>
        <v>0</v>
      </c>
      <c r="BC25" s="38">
        <f t="shared" si="5"/>
        <v>1</v>
      </c>
      <c r="BD25" s="38">
        <f t="shared" si="6"/>
        <v>0</v>
      </c>
      <c r="BL25" s="38" t="str">
        <f t="shared" si="7"/>
        <v/>
      </c>
      <c r="BM25" s="38" t="str">
        <f t="shared" si="8"/>
        <v>dBX</v>
      </c>
      <c r="BN25" s="38" t="str">
        <f t="shared" si="9"/>
        <v/>
      </c>
      <c r="BO25" s="38" t="str">
        <f t="shared" si="10"/>
        <v/>
      </c>
      <c r="BP25" s="38" t="str">
        <f t="shared" si="11"/>
        <v/>
      </c>
      <c r="BQ25" s="38" t="str">
        <f t="shared" si="12"/>
        <v>dBX</v>
      </c>
    </row>
    <row r="26" spans="1:69" ht="15" customHeight="1" x14ac:dyDescent="0.3">
      <c r="A26" s="393" t="s">
        <v>24</v>
      </c>
      <c r="B26" s="394"/>
      <c r="C26" s="394"/>
      <c r="D26" s="394"/>
      <c r="E26" s="81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9"/>
      <c r="Z26" s="139"/>
      <c r="AA26" s="140"/>
      <c r="AB26" s="141" t="s">
        <v>16</v>
      </c>
      <c r="AC26" s="140"/>
      <c r="AD26" s="142"/>
      <c r="AE26" s="143"/>
      <c r="AF26" s="143"/>
      <c r="AG26" s="144"/>
      <c r="AH26" s="145"/>
      <c r="AI26" s="145"/>
      <c r="AJ26" s="342"/>
      <c r="AK26" s="343"/>
      <c r="AL26" s="346"/>
      <c r="AM26" s="347"/>
      <c r="AN26" s="146"/>
      <c r="AO26" s="101" t="str">
        <f t="shared" si="19"/>
        <v/>
      </c>
      <c r="AP26" s="113" t="str">
        <f t="shared" si="20"/>
        <v>-</v>
      </c>
      <c r="AQ26" s="119"/>
      <c r="AR26" s="103" t="str">
        <f t="shared" si="21"/>
        <v/>
      </c>
      <c r="AY26" s="38" t="str">
        <f t="shared" si="1"/>
        <v/>
      </c>
      <c r="AZ26" s="38" t="str">
        <f t="shared" si="2"/>
        <v>0</v>
      </c>
      <c r="BA26" s="38" t="str">
        <f t="shared" si="3"/>
        <v>0</v>
      </c>
      <c r="BB26" s="38" t="str">
        <f t="shared" si="4"/>
        <v>0</v>
      </c>
      <c r="BC26" s="38">
        <f t="shared" si="5"/>
        <v>0</v>
      </c>
      <c r="BD26" s="38">
        <f t="shared" si="6"/>
        <v>0</v>
      </c>
      <c r="BL26" s="38" t="str">
        <f t="shared" si="7"/>
        <v/>
      </c>
      <c r="BM26" s="38" t="str">
        <f t="shared" si="8"/>
        <v/>
      </c>
      <c r="BN26" s="38" t="str">
        <f t="shared" si="9"/>
        <v/>
      </c>
      <c r="BO26" s="38" t="str">
        <f t="shared" si="10"/>
        <v/>
      </c>
      <c r="BP26" s="38" t="str">
        <f t="shared" si="11"/>
        <v/>
      </c>
      <c r="BQ26" s="38" t="str">
        <f t="shared" si="12"/>
        <v/>
      </c>
    </row>
    <row r="27" spans="1:69" ht="15.6" x14ac:dyDescent="0.3">
      <c r="A27" s="393"/>
      <c r="B27" s="394"/>
      <c r="C27" s="394"/>
      <c r="D27" s="394"/>
      <c r="E27" s="81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9"/>
      <c r="Z27" s="139"/>
      <c r="AA27" s="140"/>
      <c r="AB27" s="141" t="s">
        <v>16</v>
      </c>
      <c r="AC27" s="140"/>
      <c r="AD27" s="142"/>
      <c r="AE27" s="143"/>
      <c r="AF27" s="143"/>
      <c r="AG27" s="144"/>
      <c r="AH27" s="145"/>
      <c r="AI27" s="145"/>
      <c r="AJ27" s="342"/>
      <c r="AK27" s="343"/>
      <c r="AL27" s="346"/>
      <c r="AM27" s="347"/>
      <c r="AN27" s="146"/>
      <c r="AO27" s="101" t="str">
        <f t="shared" si="19"/>
        <v/>
      </c>
      <c r="AP27" s="113" t="str">
        <f t="shared" si="20"/>
        <v>-</v>
      </c>
      <c r="AQ27" s="119"/>
      <c r="AR27" s="103" t="str">
        <f t="shared" si="21"/>
        <v/>
      </c>
      <c r="AY27" s="38" t="str">
        <f t="shared" si="1"/>
        <v/>
      </c>
      <c r="AZ27" s="38" t="str">
        <f t="shared" si="2"/>
        <v>0</v>
      </c>
      <c r="BA27" s="38" t="str">
        <f t="shared" si="3"/>
        <v>0</v>
      </c>
      <c r="BB27" s="38" t="str">
        <f t="shared" si="4"/>
        <v>0</v>
      </c>
      <c r="BC27" s="38">
        <f t="shared" si="5"/>
        <v>0</v>
      </c>
      <c r="BD27" s="38">
        <f t="shared" si="6"/>
        <v>0</v>
      </c>
      <c r="BL27" s="38" t="str">
        <f t="shared" si="7"/>
        <v/>
      </c>
      <c r="BM27" s="38" t="str">
        <f t="shared" si="8"/>
        <v/>
      </c>
      <c r="BN27" s="38" t="str">
        <f t="shared" si="9"/>
        <v/>
      </c>
      <c r="BO27" s="38" t="str">
        <f t="shared" si="10"/>
        <v/>
      </c>
      <c r="BP27" s="38" t="str">
        <f t="shared" si="11"/>
        <v/>
      </c>
      <c r="BQ27" s="38" t="str">
        <f t="shared" si="12"/>
        <v/>
      </c>
    </row>
    <row r="28" spans="1:69" ht="15.6" x14ac:dyDescent="0.3">
      <c r="A28" s="395"/>
      <c r="B28" s="396"/>
      <c r="C28" s="396"/>
      <c r="D28" s="396"/>
      <c r="E28" s="81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1"/>
      <c r="Z28" s="147"/>
      <c r="AA28" s="140"/>
      <c r="AB28" s="148" t="str">
        <f>+AB25</f>
        <v>-</v>
      </c>
      <c r="AC28" s="140"/>
      <c r="AD28" s="142"/>
      <c r="AE28" s="143"/>
      <c r="AF28" s="143"/>
      <c r="AG28" s="144"/>
      <c r="AH28" s="145"/>
      <c r="AI28" s="145"/>
      <c r="AJ28" s="342"/>
      <c r="AK28" s="343"/>
      <c r="AL28" s="346"/>
      <c r="AM28" s="347"/>
      <c r="AN28" s="146"/>
      <c r="AO28" s="101" t="str">
        <f t="shared" si="19"/>
        <v/>
      </c>
      <c r="AP28" s="113" t="str">
        <f t="shared" si="20"/>
        <v>-</v>
      </c>
      <c r="AQ28" s="119"/>
      <c r="AR28" s="103" t="str">
        <f t="shared" si="21"/>
        <v/>
      </c>
      <c r="AY28" s="38" t="str">
        <f t="shared" si="1"/>
        <v/>
      </c>
      <c r="AZ28" s="38" t="str">
        <f t="shared" si="2"/>
        <v>0</v>
      </c>
      <c r="BA28" s="38" t="str">
        <f t="shared" si="3"/>
        <v>0</v>
      </c>
      <c r="BB28" s="38" t="str">
        <f t="shared" si="4"/>
        <v>0</v>
      </c>
      <c r="BC28" s="38">
        <f t="shared" si="5"/>
        <v>0</v>
      </c>
      <c r="BD28" s="38">
        <f t="shared" si="6"/>
        <v>0</v>
      </c>
      <c r="BL28" s="38" t="str">
        <f t="shared" si="7"/>
        <v/>
      </c>
      <c r="BM28" s="38" t="str">
        <f t="shared" si="8"/>
        <v/>
      </c>
      <c r="BN28" s="38" t="str">
        <f t="shared" si="9"/>
        <v/>
      </c>
      <c r="BO28" s="38" t="str">
        <f t="shared" si="10"/>
        <v/>
      </c>
      <c r="BP28" s="38" t="str">
        <f t="shared" si="11"/>
        <v/>
      </c>
      <c r="BQ28" s="38" t="str">
        <f t="shared" si="12"/>
        <v/>
      </c>
    </row>
    <row r="29" spans="1:69" ht="15.6" x14ac:dyDescent="0.3">
      <c r="A29" s="86" t="s">
        <v>0</v>
      </c>
      <c r="B29" s="87" t="s">
        <v>1</v>
      </c>
      <c r="C29" s="64"/>
      <c r="D29" s="89"/>
      <c r="E29" s="88" t="s">
        <v>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90"/>
      <c r="V29" s="91" t="s">
        <v>3</v>
      </c>
      <c r="W29" s="91" t="s">
        <v>4</v>
      </c>
      <c r="X29" s="91" t="s">
        <v>5</v>
      </c>
      <c r="Y29" s="92" t="s">
        <v>6</v>
      </c>
      <c r="Z29" s="111"/>
      <c r="AA29" s="149"/>
      <c r="AB29" s="150" t="str">
        <f t="shared" si="16"/>
        <v>-</v>
      </c>
      <c r="AC29" s="149"/>
      <c r="AD29" s="151"/>
      <c r="AE29" s="152"/>
      <c r="AF29" s="152"/>
      <c r="AG29" s="153"/>
      <c r="AH29" s="154"/>
      <c r="AI29" s="154"/>
      <c r="AJ29" s="342"/>
      <c r="AK29" s="343"/>
      <c r="AL29" s="348"/>
      <c r="AM29" s="349"/>
      <c r="AN29" s="155"/>
      <c r="AO29" s="101" t="str">
        <f t="shared" si="19"/>
        <v/>
      </c>
      <c r="AP29" s="113" t="str">
        <f t="shared" si="20"/>
        <v>-</v>
      </c>
      <c r="AQ29" s="119"/>
      <c r="AR29" s="103" t="str">
        <f t="shared" si="21"/>
        <v/>
      </c>
      <c r="AY29" s="38" t="str">
        <f t="shared" si="1"/>
        <v/>
      </c>
      <c r="AZ29" s="38" t="str">
        <f t="shared" si="2"/>
        <v>0</v>
      </c>
      <c r="BA29" s="38" t="str">
        <f t="shared" si="3"/>
        <v>0</v>
      </c>
      <c r="BB29" s="38" t="str">
        <f t="shared" si="4"/>
        <v>0</v>
      </c>
      <c r="BC29" s="38">
        <f t="shared" si="5"/>
        <v>0</v>
      </c>
      <c r="BD29" s="38">
        <f t="shared" si="6"/>
        <v>0</v>
      </c>
      <c r="BL29" s="38" t="str">
        <f t="shared" si="7"/>
        <v/>
      </c>
      <c r="BM29" s="38" t="str">
        <f t="shared" si="8"/>
        <v/>
      </c>
      <c r="BN29" s="38" t="str">
        <f t="shared" si="9"/>
        <v/>
      </c>
      <c r="BO29" s="38" t="str">
        <f t="shared" si="10"/>
        <v/>
      </c>
      <c r="BP29" s="38" t="str">
        <f t="shared" si="11"/>
        <v/>
      </c>
      <c r="BQ29" s="38" t="str">
        <f t="shared" si="12"/>
        <v/>
      </c>
    </row>
    <row r="30" spans="1:69" ht="15.6" x14ac:dyDescent="0.3">
      <c r="A30" s="104" t="s">
        <v>265</v>
      </c>
      <c r="B30" s="397">
        <f>IF(ISBLANK(HLOOKUP($F$25,spelerslijsten!$B$1:$J$22,4,FALSE)),"",HLOOKUP($F$25,spelerslijsten!$B$1:$J$22,4,FALSE))</f>
        <v>3</v>
      </c>
      <c r="C30" s="398"/>
      <c r="D30" s="105"/>
      <c r="E30" s="106" t="str">
        <f>IF(ISBLANK(HLOOKUP($F$25,spelerslijsten!$B$1:$J$22,3,FALSE)),"",HLOOKUP($F$25,spelerslijsten!$B$1:$J$22,3,FALSE))</f>
        <v>Helga Addink</v>
      </c>
      <c r="F30" s="105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8">
        <f t="shared" ref="V30:V39" si="23">SUMIF($AY$13:$AY$46,AT30,$BC$13:$BC$46)</f>
        <v>0</v>
      </c>
      <c r="W30" s="109" t="str">
        <f>IF(AU30&gt;0,"x","")</f>
        <v/>
      </c>
      <c r="X30" s="110" t="str">
        <f>IF(AU30&gt;1,"x","")</f>
        <v/>
      </c>
      <c r="Y30" s="103" t="str">
        <f>IF(AU30&gt;2,"x","")</f>
        <v/>
      </c>
      <c r="Z30" s="111"/>
      <c r="AA30" s="112"/>
      <c r="AB30" s="113" t="str">
        <f t="shared" si="16"/>
        <v>-</v>
      </c>
      <c r="AC30" s="112"/>
      <c r="AD30" s="114"/>
      <c r="AE30" s="115"/>
      <c r="AF30" s="115"/>
      <c r="AG30" s="116"/>
      <c r="AH30" s="117"/>
      <c r="AI30" s="117"/>
      <c r="AJ30" s="342"/>
      <c r="AK30" s="343"/>
      <c r="AL30" s="346"/>
      <c r="AM30" s="347"/>
      <c r="AN30" s="118"/>
      <c r="AO30" s="101" t="str">
        <f t="shared" si="19"/>
        <v/>
      </c>
      <c r="AP30" s="113" t="str">
        <f t="shared" si="20"/>
        <v>-</v>
      </c>
      <c r="AQ30" s="119"/>
      <c r="AR30" s="103" t="str">
        <f t="shared" si="21"/>
        <v/>
      </c>
      <c r="AT30" s="38" t="str">
        <f>CONCATENATE($AV$11&amp;B30)</f>
        <v>B3</v>
      </c>
      <c r="AU30" s="38">
        <f t="shared" si="18"/>
        <v>0</v>
      </c>
      <c r="AY30" s="38" t="str">
        <f t="shared" si="1"/>
        <v/>
      </c>
      <c r="AZ30" s="38" t="str">
        <f t="shared" si="2"/>
        <v>0</v>
      </c>
      <c r="BA30" s="38" t="str">
        <f t="shared" si="3"/>
        <v>0</v>
      </c>
      <c r="BB30" s="38" t="str">
        <f t="shared" si="4"/>
        <v>0</v>
      </c>
      <c r="BC30" s="38">
        <f t="shared" si="5"/>
        <v>0</v>
      </c>
      <c r="BD30" s="38">
        <f t="shared" si="6"/>
        <v>0</v>
      </c>
      <c r="BL30" s="38" t="str">
        <f t="shared" si="7"/>
        <v/>
      </c>
      <c r="BM30" s="38" t="str">
        <f t="shared" si="8"/>
        <v/>
      </c>
      <c r="BN30" s="38" t="str">
        <f t="shared" si="9"/>
        <v/>
      </c>
      <c r="BO30" s="38" t="str">
        <f t="shared" si="10"/>
        <v/>
      </c>
      <c r="BP30" s="38" t="str">
        <f t="shared" si="11"/>
        <v/>
      </c>
      <c r="BQ30" s="38" t="str">
        <f t="shared" si="12"/>
        <v/>
      </c>
    </row>
    <row r="31" spans="1:69" ht="15.6" x14ac:dyDescent="0.3">
      <c r="A31" s="120" t="s">
        <v>265</v>
      </c>
      <c r="B31" s="397">
        <f>IF(ISBLANK(HLOOKUP($F$25,spelerslijsten!$B$1:$J$22,6,FALSE)),"",HLOOKUP($F$25,spelerslijsten!$B$1:$J$22,6,FALSE))</f>
        <v>4</v>
      </c>
      <c r="C31" s="398"/>
      <c r="D31" s="121"/>
      <c r="E31" s="122" t="str">
        <f>IF(ISBLANK(HLOOKUP($F$25,spelerslijsten!$B$1:$J$22,5,FALSE)),"",HLOOKUP($F$25,spelerslijsten!$B$1:$J$22,5,FALSE))</f>
        <v>Werner Dudek</v>
      </c>
      <c r="F31" s="12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08">
        <f t="shared" si="23"/>
        <v>0</v>
      </c>
      <c r="W31" s="109" t="str">
        <f t="shared" ref="W31:W39" si="24">IF(AU31&gt;0,"x","")</f>
        <v/>
      </c>
      <c r="X31" s="110" t="str">
        <f t="shared" ref="X31:X39" si="25">IF(AU31&gt;1,"x","")</f>
        <v/>
      </c>
      <c r="Y31" s="103" t="str">
        <f t="shared" ref="Y31:Y39" si="26">IF(AU31&gt;2,"x","")</f>
        <v/>
      </c>
      <c r="Z31" s="111"/>
      <c r="AA31" s="112"/>
      <c r="AB31" s="113" t="str">
        <f t="shared" si="16"/>
        <v>-</v>
      </c>
      <c r="AC31" s="112"/>
      <c r="AD31" s="114"/>
      <c r="AE31" s="115"/>
      <c r="AF31" s="115"/>
      <c r="AG31" s="116"/>
      <c r="AH31" s="117"/>
      <c r="AI31" s="117"/>
      <c r="AJ31" s="342"/>
      <c r="AK31" s="343"/>
      <c r="AL31" s="346"/>
      <c r="AM31" s="347"/>
      <c r="AN31" s="118"/>
      <c r="AO31" s="101" t="str">
        <f t="shared" si="19"/>
        <v/>
      </c>
      <c r="AP31" s="113" t="str">
        <f t="shared" si="20"/>
        <v>-</v>
      </c>
      <c r="AQ31" s="119"/>
      <c r="AR31" s="103" t="str">
        <f t="shared" si="21"/>
        <v/>
      </c>
      <c r="AT31" s="38" t="str">
        <f t="shared" ref="AT31:AT39" si="27">CONCATENATE($AV$11&amp;B31)</f>
        <v>B4</v>
      </c>
      <c r="AU31" s="38">
        <f t="shared" si="18"/>
        <v>0</v>
      </c>
      <c r="AY31" s="38" t="str">
        <f t="shared" si="1"/>
        <v/>
      </c>
      <c r="AZ31" s="38" t="str">
        <f t="shared" si="2"/>
        <v>0</v>
      </c>
      <c r="BA31" s="38" t="str">
        <f t="shared" si="3"/>
        <v>0</v>
      </c>
      <c r="BB31" s="38" t="str">
        <f t="shared" si="4"/>
        <v>0</v>
      </c>
      <c r="BC31" s="38">
        <f t="shared" si="5"/>
        <v>0</v>
      </c>
      <c r="BD31" s="38">
        <f t="shared" si="6"/>
        <v>0</v>
      </c>
      <c r="BL31" s="38" t="str">
        <f t="shared" si="7"/>
        <v/>
      </c>
      <c r="BM31" s="38" t="str">
        <f t="shared" si="8"/>
        <v/>
      </c>
      <c r="BN31" s="38" t="str">
        <f t="shared" si="9"/>
        <v/>
      </c>
      <c r="BO31" s="38" t="str">
        <f t="shared" si="10"/>
        <v/>
      </c>
      <c r="BP31" s="38" t="str">
        <f t="shared" si="11"/>
        <v/>
      </c>
      <c r="BQ31" s="38" t="str">
        <f t="shared" si="12"/>
        <v/>
      </c>
    </row>
    <row r="32" spans="1:69" ht="15.6" x14ac:dyDescent="0.3">
      <c r="A32" s="124" t="s">
        <v>265</v>
      </c>
      <c r="B32" s="397">
        <f>IF(ISBLANK(HLOOKUP($F$25,spelerslijsten!$B$1:$J$22,8,FALSE)),"",HLOOKUP($F$25,spelerslijsten!$B$1:$J$22,8,FALSE))</f>
        <v>5</v>
      </c>
      <c r="C32" s="398"/>
      <c r="D32" s="121"/>
      <c r="E32" s="122" t="str">
        <f>IF(ISBLANK(HLOOKUP($F$25,spelerslijsten!$B$1:$J$22,7,FALSE)),"",HLOOKUP($F$25,spelerslijsten!$B$1:$J$22,7,FALSE))</f>
        <v>Luc Mulder</v>
      </c>
      <c r="F32" s="12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08">
        <f t="shared" si="23"/>
        <v>0</v>
      </c>
      <c r="W32" s="109" t="str">
        <f t="shared" si="24"/>
        <v/>
      </c>
      <c r="X32" s="110" t="str">
        <f t="shared" si="25"/>
        <v/>
      </c>
      <c r="Y32" s="103" t="str">
        <f t="shared" si="26"/>
        <v/>
      </c>
      <c r="Z32" s="111"/>
      <c r="AA32" s="112"/>
      <c r="AB32" s="113" t="str">
        <f t="shared" si="16"/>
        <v>-</v>
      </c>
      <c r="AC32" s="112"/>
      <c r="AD32" s="114"/>
      <c r="AE32" s="115"/>
      <c r="AF32" s="115"/>
      <c r="AG32" s="116"/>
      <c r="AH32" s="117"/>
      <c r="AI32" s="117"/>
      <c r="AJ32" s="342"/>
      <c r="AK32" s="343"/>
      <c r="AL32" s="346"/>
      <c r="AM32" s="347"/>
      <c r="AN32" s="118"/>
      <c r="AO32" s="101" t="str">
        <f t="shared" si="19"/>
        <v/>
      </c>
      <c r="AP32" s="113" t="str">
        <f t="shared" si="20"/>
        <v>-</v>
      </c>
      <c r="AQ32" s="119"/>
      <c r="AR32" s="103" t="str">
        <f t="shared" si="21"/>
        <v/>
      </c>
      <c r="AT32" s="38" t="str">
        <f t="shared" si="27"/>
        <v>B5</v>
      </c>
      <c r="AU32" s="38">
        <f t="shared" si="18"/>
        <v>0</v>
      </c>
      <c r="AY32" s="38" t="str">
        <f t="shared" si="1"/>
        <v/>
      </c>
      <c r="AZ32" s="38" t="str">
        <f t="shared" si="2"/>
        <v>0</v>
      </c>
      <c r="BA32" s="38" t="str">
        <f t="shared" si="3"/>
        <v>0</v>
      </c>
      <c r="BB32" s="38" t="str">
        <f t="shared" si="4"/>
        <v>0</v>
      </c>
      <c r="BC32" s="38">
        <f t="shared" si="5"/>
        <v>0</v>
      </c>
      <c r="BD32" s="38">
        <f t="shared" si="6"/>
        <v>0</v>
      </c>
      <c r="BL32" s="38" t="str">
        <f t="shared" si="7"/>
        <v/>
      </c>
      <c r="BM32" s="38" t="str">
        <f t="shared" si="8"/>
        <v/>
      </c>
      <c r="BN32" s="38" t="str">
        <f t="shared" si="9"/>
        <v/>
      </c>
      <c r="BO32" s="38" t="str">
        <f t="shared" si="10"/>
        <v/>
      </c>
      <c r="BP32" s="38" t="str">
        <f t="shared" si="11"/>
        <v/>
      </c>
      <c r="BQ32" s="38" t="str">
        <f t="shared" si="12"/>
        <v/>
      </c>
    </row>
    <row r="33" spans="1:69" ht="15.6" x14ac:dyDescent="0.3">
      <c r="A33" s="124" t="s">
        <v>265</v>
      </c>
      <c r="B33" s="397">
        <f>IF(ISBLANK(HLOOKUP($F$25,spelerslijsten!$B$1:$J$22,10,FALSE)),"",HLOOKUP($F$25,spelerslijsten!$B$1:$J$22,10,FALSE))</f>
        <v>7</v>
      </c>
      <c r="C33" s="398"/>
      <c r="D33" s="121"/>
      <c r="E33" s="122" t="str">
        <f>IF(ISBLANK(HLOOKUP($F$25,spelerslijsten!$B$1:$J$22,9,FALSE)),"",HLOOKUP($F$25,spelerslijsten!$B$1:$J$22,9,FALSE))</f>
        <v>Ties Bouten</v>
      </c>
      <c r="F33" s="12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08">
        <f t="shared" si="23"/>
        <v>3</v>
      </c>
      <c r="W33" s="109" t="str">
        <f t="shared" si="24"/>
        <v/>
      </c>
      <c r="X33" s="110" t="str">
        <f t="shared" si="25"/>
        <v/>
      </c>
      <c r="Y33" s="103" t="str">
        <f t="shared" si="26"/>
        <v/>
      </c>
      <c r="Z33" s="111"/>
      <c r="AA33" s="112"/>
      <c r="AB33" s="113" t="str">
        <f t="shared" si="16"/>
        <v>-</v>
      </c>
      <c r="AC33" s="112"/>
      <c r="AD33" s="114"/>
      <c r="AE33" s="115"/>
      <c r="AF33" s="115"/>
      <c r="AG33" s="116"/>
      <c r="AH33" s="117"/>
      <c r="AI33" s="117"/>
      <c r="AJ33" s="342"/>
      <c r="AK33" s="343"/>
      <c r="AL33" s="346"/>
      <c r="AM33" s="347"/>
      <c r="AN33" s="118"/>
      <c r="AO33" s="101" t="str">
        <f t="shared" si="19"/>
        <v/>
      </c>
      <c r="AP33" s="113" t="str">
        <f t="shared" si="20"/>
        <v>-</v>
      </c>
      <c r="AQ33" s="119"/>
      <c r="AR33" s="103" t="str">
        <f t="shared" si="21"/>
        <v/>
      </c>
      <c r="AT33" s="38" t="str">
        <f t="shared" si="27"/>
        <v>B7</v>
      </c>
      <c r="AU33" s="38">
        <f t="shared" si="18"/>
        <v>0</v>
      </c>
      <c r="AY33" s="38" t="str">
        <f t="shared" si="1"/>
        <v/>
      </c>
      <c r="AZ33" s="38" t="str">
        <f t="shared" si="2"/>
        <v>0</v>
      </c>
      <c r="BA33" s="38" t="str">
        <f t="shared" si="3"/>
        <v>0</v>
      </c>
      <c r="BB33" s="38" t="str">
        <f t="shared" si="4"/>
        <v>0</v>
      </c>
      <c r="BC33" s="38">
        <f t="shared" si="5"/>
        <v>0</v>
      </c>
      <c r="BD33" s="38">
        <f t="shared" si="6"/>
        <v>0</v>
      </c>
      <c r="BL33" s="38" t="str">
        <f t="shared" si="7"/>
        <v/>
      </c>
      <c r="BM33" s="38" t="str">
        <f t="shared" si="8"/>
        <v/>
      </c>
      <c r="BN33" s="38" t="str">
        <f t="shared" si="9"/>
        <v/>
      </c>
      <c r="BO33" s="38" t="str">
        <f t="shared" si="10"/>
        <v/>
      </c>
      <c r="BP33" s="38" t="str">
        <f t="shared" si="11"/>
        <v/>
      </c>
      <c r="BQ33" s="38" t="str">
        <f t="shared" si="12"/>
        <v/>
      </c>
    </row>
    <row r="34" spans="1:69" ht="15.6" x14ac:dyDescent="0.3">
      <c r="A34" s="124" t="s">
        <v>265</v>
      </c>
      <c r="B34" s="397">
        <f>IF(ISBLANK(HLOOKUP($F$25,spelerslijsten!$B$1:$J$22,12,FALSE)),"",HLOOKUP($F$25,spelerslijsten!$B$1:$J$22,12,FALSE))</f>
        <v>9</v>
      </c>
      <c r="C34" s="398"/>
      <c r="D34" s="121"/>
      <c r="E34" s="122" t="str">
        <f>IF(ISBLANK(HLOOKUP($F$25,spelerslijsten!$B$1:$J$22,11,FALSE)),"",HLOOKUP($F$25,spelerslijsten!$B$1:$J$22,11,FALSE))</f>
        <v>Wilma van Helden</v>
      </c>
      <c r="F34" s="12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08">
        <f t="shared" si="23"/>
        <v>3</v>
      </c>
      <c r="W34" s="109" t="str">
        <f t="shared" si="24"/>
        <v/>
      </c>
      <c r="X34" s="110" t="str">
        <f t="shared" si="25"/>
        <v/>
      </c>
      <c r="Y34" s="103" t="str">
        <f t="shared" si="26"/>
        <v/>
      </c>
      <c r="Z34" s="111"/>
      <c r="AA34" s="112"/>
      <c r="AB34" s="113" t="str">
        <f t="shared" si="16"/>
        <v>-</v>
      </c>
      <c r="AC34" s="112"/>
      <c r="AD34" s="114"/>
      <c r="AE34" s="115"/>
      <c r="AF34" s="115"/>
      <c r="AG34" s="116"/>
      <c r="AH34" s="117"/>
      <c r="AI34" s="117"/>
      <c r="AJ34" s="342"/>
      <c r="AK34" s="343"/>
      <c r="AL34" s="346"/>
      <c r="AM34" s="347"/>
      <c r="AN34" s="118"/>
      <c r="AO34" s="101" t="str">
        <f t="shared" si="19"/>
        <v/>
      </c>
      <c r="AP34" s="113" t="str">
        <f t="shared" si="20"/>
        <v>-</v>
      </c>
      <c r="AQ34" s="119"/>
      <c r="AR34" s="103" t="str">
        <f t="shared" si="21"/>
        <v/>
      </c>
      <c r="AT34" s="38" t="str">
        <f t="shared" si="27"/>
        <v>B9</v>
      </c>
      <c r="AU34" s="38">
        <f t="shared" si="18"/>
        <v>0</v>
      </c>
      <c r="AY34" s="38" t="str">
        <f t="shared" si="1"/>
        <v/>
      </c>
      <c r="AZ34" s="38" t="str">
        <f t="shared" si="2"/>
        <v>0</v>
      </c>
      <c r="BA34" s="38" t="str">
        <f t="shared" si="3"/>
        <v>0</v>
      </c>
      <c r="BB34" s="38" t="str">
        <f t="shared" si="4"/>
        <v>0</v>
      </c>
      <c r="BC34" s="38">
        <f t="shared" si="5"/>
        <v>0</v>
      </c>
      <c r="BD34" s="38">
        <f t="shared" si="6"/>
        <v>0</v>
      </c>
      <c r="BL34" s="38" t="str">
        <f t="shared" si="7"/>
        <v/>
      </c>
      <c r="BM34" s="38" t="str">
        <f t="shared" si="8"/>
        <v/>
      </c>
      <c r="BN34" s="38" t="str">
        <f t="shared" si="9"/>
        <v/>
      </c>
      <c r="BO34" s="38" t="str">
        <f t="shared" si="10"/>
        <v/>
      </c>
      <c r="BP34" s="38" t="str">
        <f t="shared" si="11"/>
        <v/>
      </c>
      <c r="BQ34" s="38" t="str">
        <f t="shared" si="12"/>
        <v/>
      </c>
    </row>
    <row r="35" spans="1:69" ht="15.6" x14ac:dyDescent="0.3">
      <c r="A35" s="124" t="s">
        <v>265</v>
      </c>
      <c r="B35" s="397">
        <f>IF(ISBLANK(HLOOKUP($F$25,spelerslijsten!$B$1:$J$22,14,FALSE)),"",HLOOKUP($F$25,spelerslijsten!$B$1:$J$22,14,FALSE))</f>
        <v>11</v>
      </c>
      <c r="C35" s="398"/>
      <c r="D35" s="121"/>
      <c r="E35" s="122" t="str">
        <f>IF(ISBLANK(HLOOKUP($F$25,spelerslijsten!$B$1:$J$22,13,FALSE)),"",HLOOKUP($F$25,spelerslijsten!$B$1:$J$22,13,FALSE))</f>
        <v>Sonja Bouten</v>
      </c>
      <c r="F35" s="12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08">
        <f t="shared" si="23"/>
        <v>0</v>
      </c>
      <c r="W35" s="109" t="str">
        <f t="shared" si="24"/>
        <v/>
      </c>
      <c r="X35" s="110" t="str">
        <f t="shared" si="25"/>
        <v/>
      </c>
      <c r="Y35" s="103" t="str">
        <f t="shared" si="26"/>
        <v/>
      </c>
      <c r="Z35" s="111"/>
      <c r="AA35" s="112"/>
      <c r="AB35" s="113" t="str">
        <f t="shared" si="16"/>
        <v>-</v>
      </c>
      <c r="AC35" s="112"/>
      <c r="AD35" s="114"/>
      <c r="AE35" s="115"/>
      <c r="AF35" s="115"/>
      <c r="AG35" s="116"/>
      <c r="AH35" s="117"/>
      <c r="AI35" s="117"/>
      <c r="AJ35" s="342"/>
      <c r="AK35" s="343"/>
      <c r="AL35" s="346"/>
      <c r="AM35" s="347"/>
      <c r="AN35" s="118"/>
      <c r="AO35" s="101" t="str">
        <f t="shared" si="19"/>
        <v/>
      </c>
      <c r="AP35" s="113" t="str">
        <f t="shared" si="20"/>
        <v>-</v>
      </c>
      <c r="AQ35" s="119"/>
      <c r="AR35" s="103" t="str">
        <f t="shared" si="21"/>
        <v/>
      </c>
      <c r="AT35" s="38" t="str">
        <f t="shared" si="27"/>
        <v>B11</v>
      </c>
      <c r="AU35" s="38">
        <f t="shared" si="18"/>
        <v>0</v>
      </c>
      <c r="AY35" s="38" t="str">
        <f t="shared" si="1"/>
        <v/>
      </c>
      <c r="AZ35" s="38" t="str">
        <f t="shared" si="2"/>
        <v>0</v>
      </c>
      <c r="BA35" s="38" t="str">
        <f t="shared" si="3"/>
        <v>0</v>
      </c>
      <c r="BB35" s="38" t="str">
        <f t="shared" si="4"/>
        <v>0</v>
      </c>
      <c r="BC35" s="38">
        <f t="shared" si="5"/>
        <v>0</v>
      </c>
      <c r="BD35" s="38">
        <f t="shared" si="6"/>
        <v>0</v>
      </c>
      <c r="BL35" s="38" t="str">
        <f t="shared" si="7"/>
        <v/>
      </c>
      <c r="BM35" s="38" t="str">
        <f t="shared" si="8"/>
        <v/>
      </c>
      <c r="BN35" s="38" t="str">
        <f t="shared" si="9"/>
        <v/>
      </c>
      <c r="BO35" s="38" t="str">
        <f t="shared" si="10"/>
        <v/>
      </c>
      <c r="BP35" s="38" t="str">
        <f t="shared" si="11"/>
        <v/>
      </c>
      <c r="BQ35" s="38" t="str">
        <f t="shared" si="12"/>
        <v/>
      </c>
    </row>
    <row r="36" spans="1:69" ht="15.6" x14ac:dyDescent="0.3">
      <c r="A36" s="124" t="s">
        <v>265</v>
      </c>
      <c r="B36" s="397">
        <f>IF(ISBLANK(HLOOKUP($F$25,spelerslijsten!$B$1:$J$22,16,FALSE)),"",HLOOKUP($F$25,spelerslijsten!$B$1:$J$22,16,FALSE))</f>
        <v>12</v>
      </c>
      <c r="C36" s="398"/>
      <c r="D36" s="121"/>
      <c r="E36" s="122" t="str">
        <f>IF(ISBLANK(HLOOKUP($F$25,spelerslijsten!$B$1:$J$22,15,FALSE)),"",HLOOKUP($F$25,spelerslijsten!$B$1:$J$22,15,FALSE))</f>
        <v>Hans Reijnders (leen)</v>
      </c>
      <c r="F36" s="12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08">
        <f t="shared" si="23"/>
        <v>0</v>
      </c>
      <c r="W36" s="109" t="str">
        <f t="shared" si="24"/>
        <v/>
      </c>
      <c r="X36" s="110" t="str">
        <f t="shared" si="25"/>
        <v/>
      </c>
      <c r="Y36" s="103" t="str">
        <f t="shared" si="26"/>
        <v/>
      </c>
      <c r="Z36" s="111"/>
      <c r="AA36" s="112"/>
      <c r="AB36" s="113" t="str">
        <f t="shared" si="16"/>
        <v>-</v>
      </c>
      <c r="AC36" s="112"/>
      <c r="AD36" s="114"/>
      <c r="AE36" s="115"/>
      <c r="AF36" s="115"/>
      <c r="AG36" s="116"/>
      <c r="AH36" s="117"/>
      <c r="AI36" s="117"/>
      <c r="AJ36" s="342"/>
      <c r="AK36" s="343"/>
      <c r="AL36" s="346"/>
      <c r="AM36" s="347"/>
      <c r="AN36" s="118"/>
      <c r="AO36" s="101" t="str">
        <f t="shared" si="19"/>
        <v/>
      </c>
      <c r="AP36" s="113" t="str">
        <f t="shared" si="20"/>
        <v>-</v>
      </c>
      <c r="AQ36" s="119"/>
      <c r="AR36" s="103" t="str">
        <f t="shared" si="21"/>
        <v/>
      </c>
      <c r="AT36" s="38" t="str">
        <f t="shared" si="27"/>
        <v>B12</v>
      </c>
      <c r="AU36" s="38">
        <f t="shared" si="18"/>
        <v>0</v>
      </c>
      <c r="AY36" s="38" t="str">
        <f t="shared" si="1"/>
        <v/>
      </c>
      <c r="AZ36" s="38" t="str">
        <f t="shared" si="2"/>
        <v>0</v>
      </c>
      <c r="BA36" s="38" t="str">
        <f t="shared" si="3"/>
        <v>0</v>
      </c>
      <c r="BB36" s="38" t="str">
        <f t="shared" si="4"/>
        <v>0</v>
      </c>
      <c r="BC36" s="38">
        <f t="shared" si="5"/>
        <v>0</v>
      </c>
      <c r="BD36" s="38">
        <f t="shared" si="6"/>
        <v>0</v>
      </c>
      <c r="BL36" s="38" t="str">
        <f t="shared" si="7"/>
        <v/>
      </c>
      <c r="BM36" s="38" t="str">
        <f t="shared" si="8"/>
        <v/>
      </c>
      <c r="BN36" s="38" t="str">
        <f t="shared" si="9"/>
        <v/>
      </c>
      <c r="BO36" s="38" t="str">
        <f t="shared" si="10"/>
        <v/>
      </c>
      <c r="BP36" s="38" t="str">
        <f t="shared" si="11"/>
        <v/>
      </c>
      <c r="BQ36" s="38" t="str">
        <f t="shared" si="12"/>
        <v/>
      </c>
    </row>
    <row r="37" spans="1:69" ht="15.6" x14ac:dyDescent="0.3">
      <c r="A37" s="124"/>
      <c r="B37" s="397" t="str">
        <f>IF(ISBLANK(HLOOKUP($F$25,spelerslijsten!$B$1:$J$22,18,FALSE)),"",HLOOKUP($F$25,spelerslijsten!$B$1:$J$22,18,FALSE))</f>
        <v/>
      </c>
      <c r="C37" s="398"/>
      <c r="D37" s="121"/>
      <c r="E37" s="122" t="str">
        <f>IF(ISBLANK(HLOOKUP($F$25,spelerslijsten!$B$1:$J$22,17,FALSE)),"",HLOOKUP($F$25,spelerslijsten!$B$1:$J$22,17,FALSE))</f>
        <v/>
      </c>
      <c r="F37" s="12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08">
        <f t="shared" si="23"/>
        <v>0</v>
      </c>
      <c r="W37" s="109" t="str">
        <f t="shared" si="24"/>
        <v/>
      </c>
      <c r="X37" s="110" t="str">
        <f t="shared" si="25"/>
        <v/>
      </c>
      <c r="Y37" s="103" t="str">
        <f t="shared" si="26"/>
        <v/>
      </c>
      <c r="Z37" s="111"/>
      <c r="AA37" s="112"/>
      <c r="AB37" s="113" t="str">
        <f t="shared" si="16"/>
        <v>-</v>
      </c>
      <c r="AC37" s="112"/>
      <c r="AD37" s="114"/>
      <c r="AE37" s="115"/>
      <c r="AF37" s="115"/>
      <c r="AG37" s="116"/>
      <c r="AH37" s="117"/>
      <c r="AI37" s="117"/>
      <c r="AJ37" s="342"/>
      <c r="AK37" s="343"/>
      <c r="AL37" s="346"/>
      <c r="AM37" s="347"/>
      <c r="AN37" s="118"/>
      <c r="AO37" s="101" t="str">
        <f t="shared" si="19"/>
        <v/>
      </c>
      <c r="AP37" s="113" t="str">
        <f t="shared" si="20"/>
        <v>-</v>
      </c>
      <c r="AQ37" s="119"/>
      <c r="AR37" s="103" t="str">
        <f t="shared" si="21"/>
        <v/>
      </c>
      <c r="AT37" s="38" t="str">
        <f t="shared" si="27"/>
        <v>B</v>
      </c>
      <c r="AU37" s="38">
        <f t="shared" si="18"/>
        <v>0</v>
      </c>
      <c r="AY37" s="38" t="str">
        <f t="shared" si="1"/>
        <v/>
      </c>
      <c r="AZ37" s="38" t="str">
        <f t="shared" si="2"/>
        <v>0</v>
      </c>
      <c r="BA37" s="38" t="str">
        <f t="shared" si="3"/>
        <v>0</v>
      </c>
      <c r="BB37" s="38" t="str">
        <f t="shared" si="4"/>
        <v>0</v>
      </c>
      <c r="BC37" s="38">
        <f t="shared" si="5"/>
        <v>0</v>
      </c>
      <c r="BD37" s="38">
        <f t="shared" si="6"/>
        <v>0</v>
      </c>
      <c r="BL37" s="38" t="str">
        <f t="shared" si="7"/>
        <v/>
      </c>
      <c r="BM37" s="38" t="str">
        <f t="shared" si="8"/>
        <v/>
      </c>
      <c r="BN37" s="38" t="str">
        <f t="shared" si="9"/>
        <v/>
      </c>
      <c r="BO37" s="38" t="str">
        <f t="shared" si="10"/>
        <v/>
      </c>
      <c r="BP37" s="38" t="str">
        <f t="shared" si="11"/>
        <v/>
      </c>
      <c r="BQ37" s="38" t="str">
        <f t="shared" si="12"/>
        <v/>
      </c>
    </row>
    <row r="38" spans="1:69" ht="15.6" x14ac:dyDescent="0.3">
      <c r="A38" s="124"/>
      <c r="B38" s="397" t="str">
        <f>IF(ISBLANK(HLOOKUP($F$25,spelerslijsten!$B$1:$J$22,20,FALSE)),"",HLOOKUP($F$25,spelerslijsten!$B$1:$J$22,20,FALSE))</f>
        <v/>
      </c>
      <c r="C38" s="398"/>
      <c r="D38" s="121"/>
      <c r="E38" s="122" t="str">
        <f>IF(ISBLANK(HLOOKUP($F$25,spelerslijsten!$B$1:$J$22,19,FALSE)),"",HLOOKUP($F$25,spelerslijsten!$B$1:$J$22,19,FALSE))</f>
        <v/>
      </c>
      <c r="F38" s="12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08">
        <f t="shared" si="23"/>
        <v>0</v>
      </c>
      <c r="W38" s="109" t="str">
        <f t="shared" si="24"/>
        <v/>
      </c>
      <c r="X38" s="110" t="str">
        <f t="shared" si="25"/>
        <v/>
      </c>
      <c r="Y38" s="103" t="str">
        <f t="shared" si="26"/>
        <v/>
      </c>
      <c r="Z38" s="111"/>
      <c r="AA38" s="112"/>
      <c r="AB38" s="113" t="str">
        <f t="shared" si="16"/>
        <v>-</v>
      </c>
      <c r="AC38" s="112"/>
      <c r="AD38" s="114"/>
      <c r="AE38" s="115"/>
      <c r="AF38" s="115"/>
      <c r="AG38" s="116"/>
      <c r="AH38" s="117"/>
      <c r="AI38" s="117"/>
      <c r="AJ38" s="342"/>
      <c r="AK38" s="343"/>
      <c r="AL38" s="346"/>
      <c r="AM38" s="347"/>
      <c r="AN38" s="118"/>
      <c r="AO38" s="101" t="str">
        <f t="shared" si="19"/>
        <v/>
      </c>
      <c r="AP38" s="113" t="str">
        <f t="shared" si="20"/>
        <v>-</v>
      </c>
      <c r="AQ38" s="119"/>
      <c r="AR38" s="103" t="str">
        <f t="shared" si="21"/>
        <v/>
      </c>
      <c r="AT38" s="38" t="str">
        <f t="shared" si="27"/>
        <v>B</v>
      </c>
      <c r="AU38" s="38">
        <f t="shared" si="18"/>
        <v>0</v>
      </c>
      <c r="AY38" s="38" t="str">
        <f t="shared" si="1"/>
        <v/>
      </c>
      <c r="AZ38" s="38" t="str">
        <f t="shared" si="2"/>
        <v>0</v>
      </c>
      <c r="BA38" s="38" t="str">
        <f t="shared" si="3"/>
        <v>0</v>
      </c>
      <c r="BB38" s="38" t="str">
        <f t="shared" si="4"/>
        <v>0</v>
      </c>
      <c r="BC38" s="38">
        <f t="shared" si="5"/>
        <v>0</v>
      </c>
      <c r="BD38" s="38">
        <f t="shared" si="6"/>
        <v>0</v>
      </c>
      <c r="BL38" s="38" t="str">
        <f t="shared" si="7"/>
        <v/>
      </c>
      <c r="BM38" s="38" t="str">
        <f t="shared" si="8"/>
        <v/>
      </c>
      <c r="BN38" s="38" t="str">
        <f t="shared" si="9"/>
        <v/>
      </c>
      <c r="BO38" s="38" t="str">
        <f t="shared" si="10"/>
        <v/>
      </c>
      <c r="BP38" s="38" t="str">
        <f t="shared" si="11"/>
        <v/>
      </c>
      <c r="BQ38" s="38" t="str">
        <f t="shared" si="12"/>
        <v/>
      </c>
    </row>
    <row r="39" spans="1:69" ht="15.6" x14ac:dyDescent="0.3">
      <c r="A39" s="125"/>
      <c r="B39" s="397" t="str">
        <f>IF(ISBLANK(HLOOKUP($F$25,spelerslijsten!$B$1:$J$22,22,FALSE)),"",HLOOKUP($F$25,spelerslijsten!$B$1:$J$22,22,FALSE))</f>
        <v/>
      </c>
      <c r="C39" s="398"/>
      <c r="D39" s="126"/>
      <c r="E39" s="259" t="str">
        <f>IF(ISBLANK(HLOOKUP($F$25,spelerslijsten!$B$1:$J$22,21,FALSE)),"",HLOOKUP($F$25,spelerslijsten!$B$1:$J$22,21,FALSE))</f>
        <v/>
      </c>
      <c r="F39" s="126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08">
        <f t="shared" si="23"/>
        <v>0</v>
      </c>
      <c r="W39" s="109" t="str">
        <f t="shared" si="24"/>
        <v/>
      </c>
      <c r="X39" s="110" t="str">
        <f t="shared" si="25"/>
        <v/>
      </c>
      <c r="Y39" s="103" t="str">
        <f t="shared" si="26"/>
        <v/>
      </c>
      <c r="Z39" s="111"/>
      <c r="AA39" s="112"/>
      <c r="AB39" s="113" t="str">
        <f t="shared" si="16"/>
        <v>-</v>
      </c>
      <c r="AC39" s="112"/>
      <c r="AD39" s="114"/>
      <c r="AE39" s="115"/>
      <c r="AF39" s="115"/>
      <c r="AG39" s="116"/>
      <c r="AH39" s="117"/>
      <c r="AI39" s="117"/>
      <c r="AJ39" s="342"/>
      <c r="AK39" s="343"/>
      <c r="AL39" s="346"/>
      <c r="AM39" s="347"/>
      <c r="AN39" s="118"/>
      <c r="AO39" s="101" t="str">
        <f t="shared" si="19"/>
        <v/>
      </c>
      <c r="AP39" s="113" t="str">
        <f t="shared" si="20"/>
        <v>-</v>
      </c>
      <c r="AQ39" s="119"/>
      <c r="AR39" s="103" t="str">
        <f t="shared" si="21"/>
        <v/>
      </c>
      <c r="AT39" s="38" t="str">
        <f t="shared" si="27"/>
        <v>B</v>
      </c>
      <c r="AU39" s="38">
        <f t="shared" si="18"/>
        <v>0</v>
      </c>
      <c r="AY39" s="38" t="str">
        <f t="shared" si="1"/>
        <v/>
      </c>
      <c r="AZ39" s="38" t="str">
        <f t="shared" si="2"/>
        <v>0</v>
      </c>
      <c r="BA39" s="38" t="str">
        <f t="shared" si="3"/>
        <v>0</v>
      </c>
      <c r="BB39" s="38" t="str">
        <f t="shared" si="4"/>
        <v>0</v>
      </c>
      <c r="BC39" s="38">
        <f t="shared" si="5"/>
        <v>0</v>
      </c>
      <c r="BD39" s="38">
        <f t="shared" si="6"/>
        <v>0</v>
      </c>
      <c r="BL39" s="38" t="str">
        <f t="shared" si="7"/>
        <v/>
      </c>
      <c r="BM39" s="38" t="str">
        <f t="shared" si="8"/>
        <v/>
      </c>
      <c r="BN39" s="38" t="str">
        <f t="shared" si="9"/>
        <v/>
      </c>
      <c r="BO39" s="38" t="str">
        <f t="shared" si="10"/>
        <v/>
      </c>
      <c r="BP39" s="38" t="str">
        <f t="shared" si="11"/>
        <v/>
      </c>
      <c r="BQ39" s="38" t="str">
        <f t="shared" si="12"/>
        <v/>
      </c>
    </row>
    <row r="40" spans="1:69" ht="16.2" thickBot="1" x14ac:dyDescent="0.35">
      <c r="A40" s="71" t="s">
        <v>67</v>
      </c>
      <c r="B40" s="72"/>
      <c r="C40" s="72"/>
      <c r="D40" s="72"/>
      <c r="E40" s="72"/>
      <c r="F40" s="72"/>
      <c r="G40" s="72"/>
      <c r="H40" s="72"/>
      <c r="I40" s="399">
        <f>HLOOKUP(F25,spelerslijsten!B1:J25,25,FALSE)</f>
        <v>6</v>
      </c>
      <c r="J40" s="400"/>
      <c r="K40" s="74" t="s">
        <v>23</v>
      </c>
      <c r="L40" s="72"/>
      <c r="M40" s="72"/>
      <c r="N40" s="129" t="str">
        <f>HLOOKUP(F25,spelerslijsten!B1:J25,23,FALSE)</f>
        <v>Sol Geraedts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30"/>
      <c r="Z40" s="111"/>
      <c r="AA40" s="112"/>
      <c r="AB40" s="113" t="str">
        <f t="shared" si="16"/>
        <v>-</v>
      </c>
      <c r="AC40" s="112"/>
      <c r="AD40" s="114"/>
      <c r="AE40" s="115"/>
      <c r="AF40" s="115"/>
      <c r="AG40" s="116"/>
      <c r="AH40" s="117"/>
      <c r="AI40" s="117"/>
      <c r="AJ40" s="342"/>
      <c r="AK40" s="343"/>
      <c r="AL40" s="346"/>
      <c r="AM40" s="347"/>
      <c r="AN40" s="118"/>
      <c r="AO40" s="101" t="str">
        <f t="shared" si="19"/>
        <v/>
      </c>
      <c r="AP40" s="113" t="str">
        <f t="shared" si="20"/>
        <v>-</v>
      </c>
      <c r="AQ40" s="119"/>
      <c r="AR40" s="103" t="str">
        <f t="shared" si="21"/>
        <v/>
      </c>
      <c r="AY40" s="38" t="str">
        <f t="shared" si="1"/>
        <v/>
      </c>
      <c r="AZ40" s="38" t="str">
        <f t="shared" si="2"/>
        <v>0</v>
      </c>
      <c r="BA40" s="38" t="str">
        <f t="shared" si="3"/>
        <v>0</v>
      </c>
      <c r="BB40" s="38" t="str">
        <f t="shared" si="4"/>
        <v>0</v>
      </c>
      <c r="BC40" s="38">
        <f t="shared" si="5"/>
        <v>0</v>
      </c>
      <c r="BD40" s="38">
        <f t="shared" si="6"/>
        <v>0</v>
      </c>
      <c r="BL40" s="38" t="str">
        <f t="shared" si="7"/>
        <v/>
      </c>
      <c r="BM40" s="38" t="str">
        <f t="shared" si="8"/>
        <v/>
      </c>
      <c r="BN40" s="38" t="str">
        <f t="shared" si="9"/>
        <v/>
      </c>
      <c r="BO40" s="38" t="str">
        <f t="shared" si="10"/>
        <v/>
      </c>
      <c r="BP40" s="38" t="str">
        <f t="shared" si="11"/>
        <v/>
      </c>
      <c r="BQ40" s="38" t="str">
        <f t="shared" si="12"/>
        <v/>
      </c>
    </row>
    <row r="41" spans="1:69" ht="15.6" x14ac:dyDescent="0.3">
      <c r="A41" s="157" t="s">
        <v>68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158"/>
      <c r="Z41" s="111"/>
      <c r="AA41" s="112"/>
      <c r="AB41" s="113" t="str">
        <f t="shared" si="16"/>
        <v>-</v>
      </c>
      <c r="AC41" s="112"/>
      <c r="AD41" s="114"/>
      <c r="AE41" s="115"/>
      <c r="AF41" s="115"/>
      <c r="AG41" s="116"/>
      <c r="AH41" s="117"/>
      <c r="AI41" s="117"/>
      <c r="AJ41" s="342"/>
      <c r="AK41" s="343"/>
      <c r="AL41" s="346"/>
      <c r="AM41" s="347"/>
      <c r="AN41" s="118"/>
      <c r="AO41" s="101" t="str">
        <f t="shared" si="19"/>
        <v/>
      </c>
      <c r="AP41" s="113" t="str">
        <f t="shared" si="20"/>
        <v>-</v>
      </c>
      <c r="AQ41" s="119"/>
      <c r="AR41" s="103" t="str">
        <f t="shared" si="21"/>
        <v/>
      </c>
      <c r="AY41" s="38" t="str">
        <f t="shared" si="1"/>
        <v/>
      </c>
      <c r="AZ41" s="38" t="str">
        <f t="shared" si="2"/>
        <v>0</v>
      </c>
      <c r="BA41" s="38" t="str">
        <f t="shared" si="3"/>
        <v>0</v>
      </c>
      <c r="BB41" s="38" t="str">
        <f t="shared" si="4"/>
        <v>0</v>
      </c>
      <c r="BC41" s="38">
        <f t="shared" si="5"/>
        <v>0</v>
      </c>
      <c r="BD41" s="38">
        <f t="shared" si="6"/>
        <v>0</v>
      </c>
      <c r="BL41" s="38" t="str">
        <f t="shared" si="7"/>
        <v/>
      </c>
      <c r="BM41" s="38" t="str">
        <f t="shared" si="8"/>
        <v/>
      </c>
      <c r="BN41" s="38" t="str">
        <f t="shared" si="9"/>
        <v/>
      </c>
      <c r="BO41" s="38" t="str">
        <f t="shared" si="10"/>
        <v/>
      </c>
      <c r="BP41" s="38" t="str">
        <f t="shared" si="11"/>
        <v/>
      </c>
      <c r="BQ41" s="38" t="str">
        <f t="shared" si="12"/>
        <v/>
      </c>
    </row>
    <row r="42" spans="1:69" ht="15.6" x14ac:dyDescent="0.3">
      <c r="A42" s="15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60"/>
      <c r="Z42" s="111"/>
      <c r="AA42" s="112"/>
      <c r="AB42" s="113" t="str">
        <f t="shared" si="16"/>
        <v>-</v>
      </c>
      <c r="AC42" s="112"/>
      <c r="AD42" s="114"/>
      <c r="AE42" s="115"/>
      <c r="AF42" s="115"/>
      <c r="AG42" s="116"/>
      <c r="AH42" s="117"/>
      <c r="AI42" s="117"/>
      <c r="AJ42" s="342"/>
      <c r="AK42" s="343"/>
      <c r="AL42" s="346"/>
      <c r="AM42" s="347"/>
      <c r="AN42" s="118"/>
      <c r="AO42" s="101" t="str">
        <f t="shared" si="19"/>
        <v/>
      </c>
      <c r="AP42" s="113" t="str">
        <f t="shared" si="20"/>
        <v>-</v>
      </c>
      <c r="AQ42" s="119"/>
      <c r="AR42" s="103" t="str">
        <f t="shared" si="21"/>
        <v/>
      </c>
      <c r="AY42" s="38" t="str">
        <f t="shared" si="1"/>
        <v/>
      </c>
      <c r="AZ42" s="38" t="str">
        <f t="shared" si="2"/>
        <v>0</v>
      </c>
      <c r="BA42" s="38" t="str">
        <f t="shared" si="3"/>
        <v>0</v>
      </c>
      <c r="BB42" s="38" t="str">
        <f t="shared" si="4"/>
        <v>0</v>
      </c>
      <c r="BC42" s="38">
        <f t="shared" si="5"/>
        <v>0</v>
      </c>
      <c r="BD42" s="38">
        <f t="shared" si="6"/>
        <v>0</v>
      </c>
      <c r="BL42" s="38" t="str">
        <f t="shared" si="7"/>
        <v/>
      </c>
      <c r="BM42" s="38" t="str">
        <f t="shared" si="8"/>
        <v/>
      </c>
      <c r="BN42" s="38" t="str">
        <f t="shared" si="9"/>
        <v/>
      </c>
      <c r="BO42" s="38" t="str">
        <f t="shared" si="10"/>
        <v/>
      </c>
      <c r="BP42" s="38" t="str">
        <f t="shared" si="11"/>
        <v/>
      </c>
      <c r="BQ42" s="38" t="str">
        <f t="shared" si="12"/>
        <v/>
      </c>
    </row>
    <row r="43" spans="1:69" ht="15.6" x14ac:dyDescent="0.3">
      <c r="A43" s="16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62"/>
      <c r="Z43" s="111"/>
      <c r="AA43" s="112"/>
      <c r="AB43" s="113" t="str">
        <f t="shared" si="16"/>
        <v>-</v>
      </c>
      <c r="AC43" s="112"/>
      <c r="AD43" s="114"/>
      <c r="AE43" s="115"/>
      <c r="AF43" s="115"/>
      <c r="AG43" s="116"/>
      <c r="AH43" s="117"/>
      <c r="AI43" s="117"/>
      <c r="AJ43" s="342"/>
      <c r="AK43" s="343"/>
      <c r="AL43" s="346"/>
      <c r="AM43" s="347"/>
      <c r="AN43" s="118"/>
      <c r="AO43" s="101" t="str">
        <f t="shared" si="19"/>
        <v/>
      </c>
      <c r="AP43" s="113" t="str">
        <f t="shared" si="20"/>
        <v>-</v>
      </c>
      <c r="AQ43" s="119"/>
      <c r="AR43" s="103" t="str">
        <f t="shared" si="21"/>
        <v/>
      </c>
      <c r="AY43" s="38" t="str">
        <f t="shared" si="1"/>
        <v/>
      </c>
      <c r="AZ43" s="38" t="str">
        <f t="shared" si="2"/>
        <v>0</v>
      </c>
      <c r="BA43" s="38" t="str">
        <f t="shared" si="3"/>
        <v>0</v>
      </c>
      <c r="BB43" s="38" t="str">
        <f t="shared" si="4"/>
        <v>0</v>
      </c>
      <c r="BC43" s="38">
        <f t="shared" si="5"/>
        <v>0</v>
      </c>
      <c r="BD43" s="38">
        <f t="shared" si="6"/>
        <v>0</v>
      </c>
      <c r="BL43" s="38" t="str">
        <f t="shared" si="7"/>
        <v/>
      </c>
      <c r="BM43" s="38" t="str">
        <f t="shared" si="8"/>
        <v/>
      </c>
      <c r="BN43" s="38" t="str">
        <f t="shared" si="9"/>
        <v/>
      </c>
      <c r="BO43" s="38" t="str">
        <f t="shared" si="10"/>
        <v/>
      </c>
      <c r="BP43" s="38" t="str">
        <f t="shared" si="11"/>
        <v/>
      </c>
      <c r="BQ43" s="38" t="str">
        <f t="shared" si="12"/>
        <v/>
      </c>
    </row>
    <row r="44" spans="1:69" ht="15.6" x14ac:dyDescent="0.3">
      <c r="A44" s="16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62"/>
      <c r="Z44" s="111"/>
      <c r="AA44" s="112"/>
      <c r="AB44" s="113" t="str">
        <f t="shared" si="16"/>
        <v>-</v>
      </c>
      <c r="AC44" s="112"/>
      <c r="AD44" s="114"/>
      <c r="AE44" s="115"/>
      <c r="AF44" s="115"/>
      <c r="AG44" s="116"/>
      <c r="AH44" s="117"/>
      <c r="AI44" s="117"/>
      <c r="AJ44" s="342"/>
      <c r="AK44" s="343"/>
      <c r="AL44" s="346"/>
      <c r="AM44" s="347"/>
      <c r="AN44" s="118"/>
      <c r="AO44" s="101" t="str">
        <f t="shared" si="19"/>
        <v/>
      </c>
      <c r="AP44" s="113" t="str">
        <f t="shared" si="20"/>
        <v>-</v>
      </c>
      <c r="AQ44" s="119"/>
      <c r="AR44" s="103" t="str">
        <f t="shared" si="21"/>
        <v/>
      </c>
      <c r="AY44" s="38" t="str">
        <f t="shared" si="1"/>
        <v/>
      </c>
      <c r="AZ44" s="38" t="str">
        <f t="shared" si="2"/>
        <v>0</v>
      </c>
      <c r="BA44" s="38" t="str">
        <f t="shared" si="3"/>
        <v>0</v>
      </c>
      <c r="BB44" s="38" t="str">
        <f t="shared" si="4"/>
        <v>0</v>
      </c>
      <c r="BC44" s="38">
        <f t="shared" si="5"/>
        <v>0</v>
      </c>
      <c r="BD44" s="38">
        <f t="shared" si="6"/>
        <v>0</v>
      </c>
      <c r="BL44" s="38" t="str">
        <f t="shared" si="7"/>
        <v/>
      </c>
      <c r="BM44" s="38" t="str">
        <f t="shared" si="8"/>
        <v/>
      </c>
      <c r="BN44" s="38" t="str">
        <f t="shared" si="9"/>
        <v/>
      </c>
      <c r="BO44" s="38" t="str">
        <f t="shared" si="10"/>
        <v/>
      </c>
      <c r="BP44" s="38" t="str">
        <f t="shared" si="11"/>
        <v/>
      </c>
      <c r="BQ44" s="38" t="str">
        <f t="shared" si="12"/>
        <v/>
      </c>
    </row>
    <row r="45" spans="1:69" ht="15.6" x14ac:dyDescent="0.3">
      <c r="A45" s="16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62"/>
      <c r="Z45" s="111"/>
      <c r="AA45" s="112"/>
      <c r="AB45" s="113" t="str">
        <f>+AB44</f>
        <v>-</v>
      </c>
      <c r="AC45" s="112"/>
      <c r="AD45" s="114"/>
      <c r="AE45" s="115"/>
      <c r="AF45" s="115"/>
      <c r="AG45" s="116"/>
      <c r="AH45" s="117"/>
      <c r="AI45" s="117"/>
      <c r="AJ45" s="342"/>
      <c r="AK45" s="343"/>
      <c r="AL45" s="346"/>
      <c r="AM45" s="347"/>
      <c r="AN45" s="118"/>
      <c r="AO45" s="101" t="str">
        <f t="shared" si="19"/>
        <v/>
      </c>
      <c r="AP45" s="113" t="str">
        <f t="shared" si="20"/>
        <v>-</v>
      </c>
      <c r="AQ45" s="119"/>
      <c r="AR45" s="103" t="str">
        <f t="shared" si="21"/>
        <v/>
      </c>
      <c r="AY45" s="38" t="str">
        <f t="shared" si="1"/>
        <v/>
      </c>
      <c r="AZ45" s="38" t="str">
        <f t="shared" si="2"/>
        <v>0</v>
      </c>
      <c r="BA45" s="38" t="str">
        <f t="shared" si="3"/>
        <v>0</v>
      </c>
      <c r="BB45" s="38" t="str">
        <f t="shared" si="4"/>
        <v>0</v>
      </c>
      <c r="BC45" s="38">
        <f t="shared" si="5"/>
        <v>0</v>
      </c>
      <c r="BD45" s="38">
        <f t="shared" si="6"/>
        <v>0</v>
      </c>
      <c r="BL45" s="38" t="str">
        <f t="shared" si="7"/>
        <v/>
      </c>
      <c r="BM45" s="38" t="str">
        <f t="shared" si="8"/>
        <v/>
      </c>
      <c r="BN45" s="38" t="str">
        <f t="shared" si="9"/>
        <v/>
      </c>
      <c r="BO45" s="38" t="str">
        <f t="shared" si="10"/>
        <v/>
      </c>
      <c r="BP45" s="38" t="str">
        <f t="shared" si="11"/>
        <v/>
      </c>
      <c r="BQ45" s="38" t="str">
        <f t="shared" si="12"/>
        <v/>
      </c>
    </row>
    <row r="46" spans="1:69" ht="16.2" thickBot="1" x14ac:dyDescent="0.35">
      <c r="A46" s="163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64"/>
      <c r="Z46" s="165"/>
      <c r="AA46" s="166"/>
      <c r="AB46" s="167" t="str">
        <f>+AB45</f>
        <v>-</v>
      </c>
      <c r="AC46" s="166"/>
      <c r="AD46" s="168"/>
      <c r="AE46" s="169"/>
      <c r="AF46" s="169"/>
      <c r="AG46" s="170"/>
      <c r="AH46" s="171"/>
      <c r="AI46" s="171"/>
      <c r="AJ46" s="344"/>
      <c r="AK46" s="345"/>
      <c r="AL46" s="352"/>
      <c r="AM46" s="353"/>
      <c r="AN46" s="172"/>
      <c r="AO46" s="101" t="str">
        <f t="shared" si="19"/>
        <v/>
      </c>
      <c r="AP46" s="113" t="str">
        <f t="shared" si="20"/>
        <v>-</v>
      </c>
      <c r="AQ46" s="119"/>
      <c r="AR46" s="103" t="str">
        <f t="shared" si="21"/>
        <v/>
      </c>
      <c r="AY46" s="38" t="str">
        <f t="shared" si="1"/>
        <v/>
      </c>
      <c r="AZ46" s="38" t="str">
        <f t="shared" si="2"/>
        <v>0</v>
      </c>
      <c r="BA46" s="38" t="str">
        <f t="shared" si="3"/>
        <v>0</v>
      </c>
      <c r="BB46" s="38" t="str">
        <f t="shared" si="4"/>
        <v>0</v>
      </c>
      <c r="BC46" s="38">
        <f t="shared" si="5"/>
        <v>0</v>
      </c>
      <c r="BD46" s="38">
        <f t="shared" si="6"/>
        <v>0</v>
      </c>
      <c r="BL46" s="38" t="str">
        <f t="shared" si="7"/>
        <v/>
      </c>
      <c r="BM46" s="38" t="str">
        <f t="shared" si="8"/>
        <v/>
      </c>
      <c r="BN46" s="38" t="str">
        <f t="shared" si="9"/>
        <v/>
      </c>
      <c r="BO46" s="38" t="str">
        <f t="shared" si="10"/>
        <v/>
      </c>
      <c r="BP46" s="38" t="str">
        <f t="shared" si="11"/>
        <v/>
      </c>
      <c r="BQ46" s="38" t="str">
        <f t="shared" si="12"/>
        <v/>
      </c>
    </row>
    <row r="47" spans="1:69" ht="18.600000000000001" thickBot="1" x14ac:dyDescent="0.35">
      <c r="A47" s="173" t="s">
        <v>69</v>
      </c>
      <c r="B47" s="174"/>
      <c r="C47" s="174"/>
      <c r="D47" s="174"/>
      <c r="E47" s="174"/>
      <c r="F47" s="174"/>
      <c r="G47" s="174">
        <f>IF(AO52&gt;AR52,AO52,IF(AO52=AR52,AO52,AR52))</f>
        <v>7</v>
      </c>
      <c r="H47" s="175" t="s">
        <v>16</v>
      </c>
      <c r="I47" s="174">
        <f>IF(AO52&gt;AR52,AR52,IF(AO52=AR52,AR52,AO52))</f>
        <v>6</v>
      </c>
      <c r="J47" s="174"/>
      <c r="K47" s="174" t="s">
        <v>70</v>
      </c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6" t="str">
        <f>BE52</f>
        <v>WIT</v>
      </c>
      <c r="W47" s="174"/>
      <c r="X47" s="174"/>
      <c r="Y47" s="174"/>
      <c r="Z47" s="174"/>
      <c r="AA47" s="174"/>
      <c r="AB47" s="174"/>
      <c r="AC47" s="174"/>
      <c r="AD47" s="177"/>
      <c r="AE47" s="178" t="s">
        <v>71</v>
      </c>
      <c r="AF47" s="179"/>
      <c r="AG47" s="179"/>
      <c r="AH47" s="179"/>
      <c r="AI47" s="179"/>
      <c r="AJ47" s="174"/>
      <c r="AK47" s="174"/>
      <c r="AL47" s="403" t="s">
        <v>177</v>
      </c>
      <c r="AM47" s="404"/>
      <c r="AN47" s="404"/>
      <c r="AO47" s="404"/>
      <c r="AP47" s="404"/>
      <c r="AQ47" s="404"/>
      <c r="AR47" s="405"/>
    </row>
    <row r="48" spans="1:69" x14ac:dyDescent="0.3">
      <c r="A48" s="180" t="s">
        <v>72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2"/>
      <c r="P48" s="183" t="s">
        <v>72</v>
      </c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2"/>
      <c r="AC48" s="181"/>
      <c r="AD48" s="184"/>
      <c r="AE48" s="185" t="s">
        <v>72</v>
      </c>
      <c r="AF48" s="186"/>
      <c r="AG48" s="186"/>
      <c r="AH48" s="186"/>
      <c r="AI48" s="186"/>
      <c r="AJ48" s="181"/>
      <c r="AK48" s="181"/>
      <c r="AL48" s="181"/>
      <c r="AM48" s="181"/>
      <c r="AN48" s="181"/>
      <c r="AO48" s="186"/>
      <c r="AP48" s="181"/>
      <c r="AQ48" s="181"/>
      <c r="AR48" s="187"/>
    </row>
    <row r="49" spans="1:57" x14ac:dyDescent="0.3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/>
      <c r="P49" s="191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90"/>
      <c r="AC49" s="189"/>
      <c r="AD49" s="192"/>
      <c r="AE49" s="193"/>
      <c r="AF49" s="193"/>
      <c r="AG49" s="193"/>
      <c r="AH49" s="193"/>
      <c r="AI49" s="193"/>
      <c r="AJ49" s="189"/>
      <c r="AK49" s="189"/>
      <c r="AL49" s="189"/>
      <c r="AM49" s="189"/>
      <c r="AN49" s="189"/>
      <c r="AO49" s="193"/>
      <c r="AP49" s="189"/>
      <c r="AQ49" s="189"/>
      <c r="AR49" s="194"/>
    </row>
    <row r="50" spans="1:57" ht="14.4" thickBot="1" x14ac:dyDescent="0.3">
      <c r="A50" s="195" t="s">
        <v>73</v>
      </c>
      <c r="B50" s="196"/>
      <c r="C50" s="196"/>
      <c r="D50" s="196"/>
      <c r="E50" s="196"/>
      <c r="F50" s="196"/>
      <c r="G50" s="196"/>
      <c r="H50" s="197" t="s">
        <v>74</v>
      </c>
      <c r="I50" s="196"/>
      <c r="J50" s="196"/>
      <c r="K50" s="196"/>
      <c r="L50" s="196"/>
      <c r="M50" s="196"/>
      <c r="N50" s="196"/>
      <c r="O50" s="198"/>
      <c r="P50" s="199" t="s">
        <v>73</v>
      </c>
      <c r="Q50" s="196"/>
      <c r="R50" s="196"/>
      <c r="S50" s="196"/>
      <c r="T50" s="196"/>
      <c r="U50" s="196"/>
      <c r="V50" s="196"/>
      <c r="W50" s="197" t="s">
        <v>75</v>
      </c>
      <c r="X50" s="196"/>
      <c r="Y50" s="196"/>
      <c r="Z50" s="196"/>
      <c r="AA50" s="196"/>
      <c r="AB50" s="198"/>
      <c r="AC50" s="196"/>
      <c r="AD50" s="200"/>
      <c r="AE50" s="201" t="s">
        <v>25</v>
      </c>
      <c r="AF50" s="202"/>
      <c r="AG50" s="202"/>
      <c r="AH50" s="202"/>
      <c r="AI50" s="202"/>
      <c r="AJ50" s="203"/>
      <c r="AK50" s="203"/>
      <c r="AL50" s="203"/>
      <c r="AM50" s="203"/>
      <c r="AN50" s="203"/>
      <c r="AO50" s="202"/>
      <c r="AP50" s="203"/>
      <c r="AQ50" s="203"/>
      <c r="AR50" s="204"/>
    </row>
    <row r="52" spans="1:57" hidden="1" x14ac:dyDescent="0.3">
      <c r="AO52" s="40">
        <f>IF(AO13="","",MAX(AO13:AO46))</f>
        <v>7</v>
      </c>
      <c r="AR52" s="40">
        <f>IF(AR13="","",MAX(AR13:AR46))</f>
        <v>6</v>
      </c>
      <c r="AS52" s="38" t="str">
        <f>IF(AO13="","0","1")</f>
        <v>1</v>
      </c>
      <c r="BE52" s="38" t="str">
        <f>IF(AS52="0","WIT/BLAUW",IF(AO52&gt;AR52,"WIT",IF(AO52=AR52,"GELIJK","BLAUW")))</f>
        <v>WIT</v>
      </c>
    </row>
  </sheetData>
  <sheetProtection sheet="1" objects="1" scenarios="1"/>
  <mergeCells count="107">
    <mergeCell ref="B30:C30"/>
    <mergeCell ref="B31:C31"/>
    <mergeCell ref="B32:C32"/>
    <mergeCell ref="B33:C33"/>
    <mergeCell ref="B34:C34"/>
    <mergeCell ref="I40:J40"/>
    <mergeCell ref="B35:C35"/>
    <mergeCell ref="B36:C36"/>
    <mergeCell ref="B37:C37"/>
    <mergeCell ref="B38:C38"/>
    <mergeCell ref="B39:C39"/>
    <mergeCell ref="B23:C23"/>
    <mergeCell ref="I24:J24"/>
    <mergeCell ref="F25:Y28"/>
    <mergeCell ref="A26:D28"/>
    <mergeCell ref="AL27:AM27"/>
    <mergeCell ref="AL28:AM28"/>
    <mergeCell ref="AL23:AM23"/>
    <mergeCell ref="AL24:AM24"/>
    <mergeCell ref="AL25:AM25"/>
    <mergeCell ref="AL26:AM26"/>
    <mergeCell ref="AJ23:AK23"/>
    <mergeCell ref="AJ24:AK24"/>
    <mergeCell ref="AJ25:AK25"/>
    <mergeCell ref="AJ26:AK26"/>
    <mergeCell ref="AJ27:AK27"/>
    <mergeCell ref="AJ28:AK28"/>
    <mergeCell ref="F10:Y12"/>
    <mergeCell ref="Z10:AD12"/>
    <mergeCell ref="AJ10:AK12"/>
    <mergeCell ref="AL10:AM12"/>
    <mergeCell ref="AN10:AR11"/>
    <mergeCell ref="AN12:AO12"/>
    <mergeCell ref="AQ12:AR12"/>
    <mergeCell ref="AL17:AM17"/>
    <mergeCell ref="AJ17:AK17"/>
    <mergeCell ref="AL22:AM22"/>
    <mergeCell ref="D3:N3"/>
    <mergeCell ref="AL13:AM13"/>
    <mergeCell ref="AL14:AM14"/>
    <mergeCell ref="AL15:AM15"/>
    <mergeCell ref="AL16:AM16"/>
    <mergeCell ref="D4:E4"/>
    <mergeCell ref="G4:I4"/>
    <mergeCell ref="A11:D12"/>
    <mergeCell ref="B14:C14"/>
    <mergeCell ref="B15:C15"/>
    <mergeCell ref="B16:C16"/>
    <mergeCell ref="AJ13:AK13"/>
    <mergeCell ref="AJ14:AK14"/>
    <mergeCell ref="AJ15:AK15"/>
    <mergeCell ref="AJ16:AK16"/>
    <mergeCell ref="B18:C18"/>
    <mergeCell ref="B19:C19"/>
    <mergeCell ref="B20:C20"/>
    <mergeCell ref="B21:C21"/>
    <mergeCell ref="B22:C22"/>
    <mergeCell ref="B17:C17"/>
    <mergeCell ref="K4:M4"/>
    <mergeCell ref="AH6:AR6"/>
    <mergeCell ref="BF4:BI6"/>
    <mergeCell ref="AL47:AR47"/>
    <mergeCell ref="AL44:AM44"/>
    <mergeCell ref="AL45:AM45"/>
    <mergeCell ref="AL46:AM46"/>
    <mergeCell ref="AL39:AM39"/>
    <mergeCell ref="AL40:AM40"/>
    <mergeCell ref="AL41:AM41"/>
    <mergeCell ref="AL42:AM42"/>
    <mergeCell ref="AL43:AM43"/>
    <mergeCell ref="AL34:AM34"/>
    <mergeCell ref="AL35:AM35"/>
    <mergeCell ref="AL36:AM36"/>
    <mergeCell ref="AL37:AM37"/>
    <mergeCell ref="AL38:AM38"/>
    <mergeCell ref="AL29:AM29"/>
    <mergeCell ref="AL30:AM30"/>
    <mergeCell ref="AL31:AM31"/>
    <mergeCell ref="AL32:AM32"/>
    <mergeCell ref="AL33:AM33"/>
    <mergeCell ref="AL18:AM18"/>
    <mergeCell ref="AL19:AM19"/>
    <mergeCell ref="AL20:AM20"/>
    <mergeCell ref="AL21:AM21"/>
    <mergeCell ref="AJ29:AK29"/>
    <mergeCell ref="AJ30:AK30"/>
    <mergeCell ref="AJ31:AK31"/>
    <mergeCell ref="AJ32:AK32"/>
    <mergeCell ref="AJ33:AK33"/>
    <mergeCell ref="AJ18:AK18"/>
    <mergeCell ref="AJ19:AK19"/>
    <mergeCell ref="AJ20:AK20"/>
    <mergeCell ref="AJ21:AK21"/>
    <mergeCell ref="AJ22:AK22"/>
    <mergeCell ref="AJ44:AK44"/>
    <mergeCell ref="AJ45:AK45"/>
    <mergeCell ref="AJ46:AK46"/>
    <mergeCell ref="AJ39:AK39"/>
    <mergeCell ref="AJ40:AK40"/>
    <mergeCell ref="AJ41:AK41"/>
    <mergeCell ref="AJ42:AK42"/>
    <mergeCell ref="AJ43:AK43"/>
    <mergeCell ref="AJ34:AK34"/>
    <mergeCell ref="AJ35:AK35"/>
    <mergeCell ref="AJ36:AK36"/>
    <mergeCell ref="AJ37:AK37"/>
    <mergeCell ref="AJ38:AK38"/>
  </mergeCells>
  <dataValidations count="1">
    <dataValidation type="list" allowBlank="1" showInputMessage="1" showErrorMessage="1" sqref="AL47:AR47" xr:uid="{A78F990C-4E38-4466-B355-C9496E7E7C9D}">
      <formula1>"JA/NEE,JA,NEE"</formula1>
    </dataValidation>
  </dataValidations>
  <hyperlinks>
    <hyperlink ref="BF4:BI6" location="Wedstrijden!A1" display="Wedstrijdschema" xr:uid="{EF05ABF6-8350-4685-8545-B3A0ADFDAA0B}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IV52"/>
  <sheetViews>
    <sheetView workbookViewId="0">
      <selection activeCell="BF4" sqref="BF4:BI6"/>
    </sheetView>
  </sheetViews>
  <sheetFormatPr defaultRowHeight="13.8" x14ac:dyDescent="0.3"/>
  <cols>
    <col min="1" max="6" width="2.33203125" style="38" customWidth="1"/>
    <col min="7" max="7" width="3.33203125" style="38" customWidth="1"/>
    <col min="8" max="8" width="2.33203125" style="38" customWidth="1"/>
    <col min="9" max="9" width="3.33203125" style="38" customWidth="1"/>
    <col min="10" max="25" width="2.33203125" style="38" customWidth="1"/>
    <col min="26" max="28" width="2.109375" style="38" customWidth="1"/>
    <col min="29" max="29" width="3" style="38" customWidth="1"/>
    <col min="30" max="30" width="2.109375" style="39" customWidth="1"/>
    <col min="31" max="35" width="2.33203125" style="40" customWidth="1"/>
    <col min="36" max="39" width="2.33203125" style="38" customWidth="1"/>
    <col min="40" max="40" width="2.109375" style="38" customWidth="1"/>
    <col min="41" max="41" width="3.33203125" style="40" customWidth="1"/>
    <col min="42" max="43" width="2.109375" style="38" customWidth="1"/>
    <col min="44" max="44" width="3.33203125" style="40" customWidth="1"/>
    <col min="45" max="45" width="9.109375" style="38"/>
    <col min="46" max="56" width="9.109375" style="38" hidden="1" customWidth="1"/>
    <col min="57" max="62" width="9.109375" style="38"/>
    <col min="63" max="69" width="0" style="38" hidden="1" customWidth="1"/>
    <col min="70" max="256" width="9.109375" style="38"/>
    <col min="257" max="281" width="2.33203125" style="38" customWidth="1"/>
    <col min="282" max="286" width="2.109375" style="38" customWidth="1"/>
    <col min="287" max="295" width="2.33203125" style="38" customWidth="1"/>
    <col min="296" max="300" width="2.109375" style="38" customWidth="1"/>
    <col min="301" max="512" width="9.109375" style="38"/>
    <col min="513" max="537" width="2.33203125" style="38" customWidth="1"/>
    <col min="538" max="542" width="2.109375" style="38" customWidth="1"/>
    <col min="543" max="551" width="2.33203125" style="38" customWidth="1"/>
    <col min="552" max="556" width="2.109375" style="38" customWidth="1"/>
    <col min="557" max="768" width="9.109375" style="38"/>
    <col min="769" max="793" width="2.33203125" style="38" customWidth="1"/>
    <col min="794" max="798" width="2.109375" style="38" customWidth="1"/>
    <col min="799" max="807" width="2.33203125" style="38" customWidth="1"/>
    <col min="808" max="812" width="2.109375" style="38" customWidth="1"/>
    <col min="813" max="1024" width="9.109375" style="38"/>
    <col min="1025" max="1049" width="2.33203125" style="38" customWidth="1"/>
    <col min="1050" max="1054" width="2.109375" style="38" customWidth="1"/>
    <col min="1055" max="1063" width="2.33203125" style="38" customWidth="1"/>
    <col min="1064" max="1068" width="2.109375" style="38" customWidth="1"/>
    <col min="1069" max="1280" width="9.109375" style="38"/>
    <col min="1281" max="1305" width="2.33203125" style="38" customWidth="1"/>
    <col min="1306" max="1310" width="2.109375" style="38" customWidth="1"/>
    <col min="1311" max="1319" width="2.33203125" style="38" customWidth="1"/>
    <col min="1320" max="1324" width="2.109375" style="38" customWidth="1"/>
    <col min="1325" max="1536" width="9.109375" style="38"/>
    <col min="1537" max="1561" width="2.33203125" style="38" customWidth="1"/>
    <col min="1562" max="1566" width="2.109375" style="38" customWidth="1"/>
    <col min="1567" max="1575" width="2.33203125" style="38" customWidth="1"/>
    <col min="1576" max="1580" width="2.109375" style="38" customWidth="1"/>
    <col min="1581" max="1792" width="9.109375" style="38"/>
    <col min="1793" max="1817" width="2.33203125" style="38" customWidth="1"/>
    <col min="1818" max="1822" width="2.109375" style="38" customWidth="1"/>
    <col min="1823" max="1831" width="2.33203125" style="38" customWidth="1"/>
    <col min="1832" max="1836" width="2.109375" style="38" customWidth="1"/>
    <col min="1837" max="2048" width="9.109375" style="38"/>
    <col min="2049" max="2073" width="2.33203125" style="38" customWidth="1"/>
    <col min="2074" max="2078" width="2.109375" style="38" customWidth="1"/>
    <col min="2079" max="2087" width="2.33203125" style="38" customWidth="1"/>
    <col min="2088" max="2092" width="2.109375" style="38" customWidth="1"/>
    <col min="2093" max="2304" width="9.109375" style="38"/>
    <col min="2305" max="2329" width="2.33203125" style="38" customWidth="1"/>
    <col min="2330" max="2334" width="2.109375" style="38" customWidth="1"/>
    <col min="2335" max="2343" width="2.33203125" style="38" customWidth="1"/>
    <col min="2344" max="2348" width="2.109375" style="38" customWidth="1"/>
    <col min="2349" max="2560" width="9.109375" style="38"/>
    <col min="2561" max="2585" width="2.33203125" style="38" customWidth="1"/>
    <col min="2586" max="2590" width="2.109375" style="38" customWidth="1"/>
    <col min="2591" max="2599" width="2.33203125" style="38" customWidth="1"/>
    <col min="2600" max="2604" width="2.109375" style="38" customWidth="1"/>
    <col min="2605" max="2816" width="9.109375" style="38"/>
    <col min="2817" max="2841" width="2.33203125" style="38" customWidth="1"/>
    <col min="2842" max="2846" width="2.109375" style="38" customWidth="1"/>
    <col min="2847" max="2855" width="2.33203125" style="38" customWidth="1"/>
    <col min="2856" max="2860" width="2.109375" style="38" customWidth="1"/>
    <col min="2861" max="3072" width="9.109375" style="38"/>
    <col min="3073" max="3097" width="2.33203125" style="38" customWidth="1"/>
    <col min="3098" max="3102" width="2.109375" style="38" customWidth="1"/>
    <col min="3103" max="3111" width="2.33203125" style="38" customWidth="1"/>
    <col min="3112" max="3116" width="2.109375" style="38" customWidth="1"/>
    <col min="3117" max="3328" width="9.109375" style="38"/>
    <col min="3329" max="3353" width="2.33203125" style="38" customWidth="1"/>
    <col min="3354" max="3358" width="2.109375" style="38" customWidth="1"/>
    <col min="3359" max="3367" width="2.33203125" style="38" customWidth="1"/>
    <col min="3368" max="3372" width="2.109375" style="38" customWidth="1"/>
    <col min="3373" max="3584" width="9.109375" style="38"/>
    <col min="3585" max="3609" width="2.33203125" style="38" customWidth="1"/>
    <col min="3610" max="3614" width="2.109375" style="38" customWidth="1"/>
    <col min="3615" max="3623" width="2.33203125" style="38" customWidth="1"/>
    <col min="3624" max="3628" width="2.109375" style="38" customWidth="1"/>
    <col min="3629" max="3840" width="9.109375" style="38"/>
    <col min="3841" max="3865" width="2.33203125" style="38" customWidth="1"/>
    <col min="3866" max="3870" width="2.109375" style="38" customWidth="1"/>
    <col min="3871" max="3879" width="2.33203125" style="38" customWidth="1"/>
    <col min="3880" max="3884" width="2.109375" style="38" customWidth="1"/>
    <col min="3885" max="4096" width="9.109375" style="38"/>
    <col min="4097" max="4121" width="2.33203125" style="38" customWidth="1"/>
    <col min="4122" max="4126" width="2.109375" style="38" customWidth="1"/>
    <col min="4127" max="4135" width="2.33203125" style="38" customWidth="1"/>
    <col min="4136" max="4140" width="2.109375" style="38" customWidth="1"/>
    <col min="4141" max="4352" width="9.109375" style="38"/>
    <col min="4353" max="4377" width="2.33203125" style="38" customWidth="1"/>
    <col min="4378" max="4382" width="2.109375" style="38" customWidth="1"/>
    <col min="4383" max="4391" width="2.33203125" style="38" customWidth="1"/>
    <col min="4392" max="4396" width="2.109375" style="38" customWidth="1"/>
    <col min="4397" max="4608" width="9.109375" style="38"/>
    <col min="4609" max="4633" width="2.33203125" style="38" customWidth="1"/>
    <col min="4634" max="4638" width="2.109375" style="38" customWidth="1"/>
    <col min="4639" max="4647" width="2.33203125" style="38" customWidth="1"/>
    <col min="4648" max="4652" width="2.109375" style="38" customWidth="1"/>
    <col min="4653" max="4864" width="9.109375" style="38"/>
    <col min="4865" max="4889" width="2.33203125" style="38" customWidth="1"/>
    <col min="4890" max="4894" width="2.109375" style="38" customWidth="1"/>
    <col min="4895" max="4903" width="2.33203125" style="38" customWidth="1"/>
    <col min="4904" max="4908" width="2.109375" style="38" customWidth="1"/>
    <col min="4909" max="5120" width="9.109375" style="38"/>
    <col min="5121" max="5145" width="2.33203125" style="38" customWidth="1"/>
    <col min="5146" max="5150" width="2.109375" style="38" customWidth="1"/>
    <col min="5151" max="5159" width="2.33203125" style="38" customWidth="1"/>
    <col min="5160" max="5164" width="2.109375" style="38" customWidth="1"/>
    <col min="5165" max="5376" width="9.109375" style="38"/>
    <col min="5377" max="5401" width="2.33203125" style="38" customWidth="1"/>
    <col min="5402" max="5406" width="2.109375" style="38" customWidth="1"/>
    <col min="5407" max="5415" width="2.33203125" style="38" customWidth="1"/>
    <col min="5416" max="5420" width="2.109375" style="38" customWidth="1"/>
    <col min="5421" max="5632" width="9.109375" style="38"/>
    <col min="5633" max="5657" width="2.33203125" style="38" customWidth="1"/>
    <col min="5658" max="5662" width="2.109375" style="38" customWidth="1"/>
    <col min="5663" max="5671" width="2.33203125" style="38" customWidth="1"/>
    <col min="5672" max="5676" width="2.109375" style="38" customWidth="1"/>
    <col min="5677" max="5888" width="9.109375" style="38"/>
    <col min="5889" max="5913" width="2.33203125" style="38" customWidth="1"/>
    <col min="5914" max="5918" width="2.109375" style="38" customWidth="1"/>
    <col min="5919" max="5927" width="2.33203125" style="38" customWidth="1"/>
    <col min="5928" max="5932" width="2.109375" style="38" customWidth="1"/>
    <col min="5933" max="6144" width="9.109375" style="38"/>
    <col min="6145" max="6169" width="2.33203125" style="38" customWidth="1"/>
    <col min="6170" max="6174" width="2.109375" style="38" customWidth="1"/>
    <col min="6175" max="6183" width="2.33203125" style="38" customWidth="1"/>
    <col min="6184" max="6188" width="2.109375" style="38" customWidth="1"/>
    <col min="6189" max="6400" width="9.109375" style="38"/>
    <col min="6401" max="6425" width="2.33203125" style="38" customWidth="1"/>
    <col min="6426" max="6430" width="2.109375" style="38" customWidth="1"/>
    <col min="6431" max="6439" width="2.33203125" style="38" customWidth="1"/>
    <col min="6440" max="6444" width="2.109375" style="38" customWidth="1"/>
    <col min="6445" max="6656" width="9.109375" style="38"/>
    <col min="6657" max="6681" width="2.33203125" style="38" customWidth="1"/>
    <col min="6682" max="6686" width="2.109375" style="38" customWidth="1"/>
    <col min="6687" max="6695" width="2.33203125" style="38" customWidth="1"/>
    <col min="6696" max="6700" width="2.109375" style="38" customWidth="1"/>
    <col min="6701" max="6912" width="9.109375" style="38"/>
    <col min="6913" max="6937" width="2.33203125" style="38" customWidth="1"/>
    <col min="6938" max="6942" width="2.109375" style="38" customWidth="1"/>
    <col min="6943" max="6951" width="2.33203125" style="38" customWidth="1"/>
    <col min="6952" max="6956" width="2.109375" style="38" customWidth="1"/>
    <col min="6957" max="7168" width="9.109375" style="38"/>
    <col min="7169" max="7193" width="2.33203125" style="38" customWidth="1"/>
    <col min="7194" max="7198" width="2.109375" style="38" customWidth="1"/>
    <col min="7199" max="7207" width="2.33203125" style="38" customWidth="1"/>
    <col min="7208" max="7212" width="2.109375" style="38" customWidth="1"/>
    <col min="7213" max="7424" width="9.109375" style="38"/>
    <col min="7425" max="7449" width="2.33203125" style="38" customWidth="1"/>
    <col min="7450" max="7454" width="2.109375" style="38" customWidth="1"/>
    <col min="7455" max="7463" width="2.33203125" style="38" customWidth="1"/>
    <col min="7464" max="7468" width="2.109375" style="38" customWidth="1"/>
    <col min="7469" max="7680" width="9.109375" style="38"/>
    <col min="7681" max="7705" width="2.33203125" style="38" customWidth="1"/>
    <col min="7706" max="7710" width="2.109375" style="38" customWidth="1"/>
    <col min="7711" max="7719" width="2.33203125" style="38" customWidth="1"/>
    <col min="7720" max="7724" width="2.109375" style="38" customWidth="1"/>
    <col min="7725" max="7936" width="9.109375" style="38"/>
    <col min="7937" max="7961" width="2.33203125" style="38" customWidth="1"/>
    <col min="7962" max="7966" width="2.109375" style="38" customWidth="1"/>
    <col min="7967" max="7975" width="2.33203125" style="38" customWidth="1"/>
    <col min="7976" max="7980" width="2.109375" style="38" customWidth="1"/>
    <col min="7981" max="8192" width="9.109375" style="38"/>
    <col min="8193" max="8217" width="2.33203125" style="38" customWidth="1"/>
    <col min="8218" max="8222" width="2.109375" style="38" customWidth="1"/>
    <col min="8223" max="8231" width="2.33203125" style="38" customWidth="1"/>
    <col min="8232" max="8236" width="2.109375" style="38" customWidth="1"/>
    <col min="8237" max="8448" width="9.109375" style="38"/>
    <col min="8449" max="8473" width="2.33203125" style="38" customWidth="1"/>
    <col min="8474" max="8478" width="2.109375" style="38" customWidth="1"/>
    <col min="8479" max="8487" width="2.33203125" style="38" customWidth="1"/>
    <col min="8488" max="8492" width="2.109375" style="38" customWidth="1"/>
    <col min="8493" max="8704" width="9.109375" style="38"/>
    <col min="8705" max="8729" width="2.33203125" style="38" customWidth="1"/>
    <col min="8730" max="8734" width="2.109375" style="38" customWidth="1"/>
    <col min="8735" max="8743" width="2.33203125" style="38" customWidth="1"/>
    <col min="8744" max="8748" width="2.109375" style="38" customWidth="1"/>
    <col min="8749" max="8960" width="9.109375" style="38"/>
    <col min="8961" max="8985" width="2.33203125" style="38" customWidth="1"/>
    <col min="8986" max="8990" width="2.109375" style="38" customWidth="1"/>
    <col min="8991" max="8999" width="2.33203125" style="38" customWidth="1"/>
    <col min="9000" max="9004" width="2.109375" style="38" customWidth="1"/>
    <col min="9005" max="9216" width="9.109375" style="38"/>
    <col min="9217" max="9241" width="2.33203125" style="38" customWidth="1"/>
    <col min="9242" max="9246" width="2.109375" style="38" customWidth="1"/>
    <col min="9247" max="9255" width="2.33203125" style="38" customWidth="1"/>
    <col min="9256" max="9260" width="2.109375" style="38" customWidth="1"/>
    <col min="9261" max="9472" width="9.109375" style="38"/>
    <col min="9473" max="9497" width="2.33203125" style="38" customWidth="1"/>
    <col min="9498" max="9502" width="2.109375" style="38" customWidth="1"/>
    <col min="9503" max="9511" width="2.33203125" style="38" customWidth="1"/>
    <col min="9512" max="9516" width="2.109375" style="38" customWidth="1"/>
    <col min="9517" max="9728" width="9.109375" style="38"/>
    <col min="9729" max="9753" width="2.33203125" style="38" customWidth="1"/>
    <col min="9754" max="9758" width="2.109375" style="38" customWidth="1"/>
    <col min="9759" max="9767" width="2.33203125" style="38" customWidth="1"/>
    <col min="9768" max="9772" width="2.109375" style="38" customWidth="1"/>
    <col min="9773" max="9984" width="9.109375" style="38"/>
    <col min="9985" max="10009" width="2.33203125" style="38" customWidth="1"/>
    <col min="10010" max="10014" width="2.109375" style="38" customWidth="1"/>
    <col min="10015" max="10023" width="2.33203125" style="38" customWidth="1"/>
    <col min="10024" max="10028" width="2.109375" style="38" customWidth="1"/>
    <col min="10029" max="10240" width="9.109375" style="38"/>
    <col min="10241" max="10265" width="2.33203125" style="38" customWidth="1"/>
    <col min="10266" max="10270" width="2.109375" style="38" customWidth="1"/>
    <col min="10271" max="10279" width="2.33203125" style="38" customWidth="1"/>
    <col min="10280" max="10284" width="2.109375" style="38" customWidth="1"/>
    <col min="10285" max="10496" width="9.109375" style="38"/>
    <col min="10497" max="10521" width="2.33203125" style="38" customWidth="1"/>
    <col min="10522" max="10526" width="2.109375" style="38" customWidth="1"/>
    <col min="10527" max="10535" width="2.33203125" style="38" customWidth="1"/>
    <col min="10536" max="10540" width="2.109375" style="38" customWidth="1"/>
    <col min="10541" max="10752" width="9.109375" style="38"/>
    <col min="10753" max="10777" width="2.33203125" style="38" customWidth="1"/>
    <col min="10778" max="10782" width="2.109375" style="38" customWidth="1"/>
    <col min="10783" max="10791" width="2.33203125" style="38" customWidth="1"/>
    <col min="10792" max="10796" width="2.109375" style="38" customWidth="1"/>
    <col min="10797" max="11008" width="9.109375" style="38"/>
    <col min="11009" max="11033" width="2.33203125" style="38" customWidth="1"/>
    <col min="11034" max="11038" width="2.109375" style="38" customWidth="1"/>
    <col min="11039" max="11047" width="2.33203125" style="38" customWidth="1"/>
    <col min="11048" max="11052" width="2.109375" style="38" customWidth="1"/>
    <col min="11053" max="11264" width="9.109375" style="38"/>
    <col min="11265" max="11289" width="2.33203125" style="38" customWidth="1"/>
    <col min="11290" max="11294" width="2.109375" style="38" customWidth="1"/>
    <col min="11295" max="11303" width="2.33203125" style="38" customWidth="1"/>
    <col min="11304" max="11308" width="2.109375" style="38" customWidth="1"/>
    <col min="11309" max="11520" width="9.109375" style="38"/>
    <col min="11521" max="11545" width="2.33203125" style="38" customWidth="1"/>
    <col min="11546" max="11550" width="2.109375" style="38" customWidth="1"/>
    <col min="11551" max="11559" width="2.33203125" style="38" customWidth="1"/>
    <col min="11560" max="11564" width="2.109375" style="38" customWidth="1"/>
    <col min="11565" max="11776" width="9.109375" style="38"/>
    <col min="11777" max="11801" width="2.33203125" style="38" customWidth="1"/>
    <col min="11802" max="11806" width="2.109375" style="38" customWidth="1"/>
    <col min="11807" max="11815" width="2.33203125" style="38" customWidth="1"/>
    <col min="11816" max="11820" width="2.109375" style="38" customWidth="1"/>
    <col min="11821" max="12032" width="9.109375" style="38"/>
    <col min="12033" max="12057" width="2.33203125" style="38" customWidth="1"/>
    <col min="12058" max="12062" width="2.109375" style="38" customWidth="1"/>
    <col min="12063" max="12071" width="2.33203125" style="38" customWidth="1"/>
    <col min="12072" max="12076" width="2.109375" style="38" customWidth="1"/>
    <col min="12077" max="12288" width="9.109375" style="38"/>
    <col min="12289" max="12313" width="2.33203125" style="38" customWidth="1"/>
    <col min="12314" max="12318" width="2.109375" style="38" customWidth="1"/>
    <col min="12319" max="12327" width="2.33203125" style="38" customWidth="1"/>
    <col min="12328" max="12332" width="2.109375" style="38" customWidth="1"/>
    <col min="12333" max="12544" width="9.109375" style="38"/>
    <col min="12545" max="12569" width="2.33203125" style="38" customWidth="1"/>
    <col min="12570" max="12574" width="2.109375" style="38" customWidth="1"/>
    <col min="12575" max="12583" width="2.33203125" style="38" customWidth="1"/>
    <col min="12584" max="12588" width="2.109375" style="38" customWidth="1"/>
    <col min="12589" max="12800" width="9.109375" style="38"/>
    <col min="12801" max="12825" width="2.33203125" style="38" customWidth="1"/>
    <col min="12826" max="12830" width="2.109375" style="38" customWidth="1"/>
    <col min="12831" max="12839" width="2.33203125" style="38" customWidth="1"/>
    <col min="12840" max="12844" width="2.109375" style="38" customWidth="1"/>
    <col min="12845" max="13056" width="9.109375" style="38"/>
    <col min="13057" max="13081" width="2.33203125" style="38" customWidth="1"/>
    <col min="13082" max="13086" width="2.109375" style="38" customWidth="1"/>
    <col min="13087" max="13095" width="2.33203125" style="38" customWidth="1"/>
    <col min="13096" max="13100" width="2.109375" style="38" customWidth="1"/>
    <col min="13101" max="13312" width="9.109375" style="38"/>
    <col min="13313" max="13337" width="2.33203125" style="38" customWidth="1"/>
    <col min="13338" max="13342" width="2.109375" style="38" customWidth="1"/>
    <col min="13343" max="13351" width="2.33203125" style="38" customWidth="1"/>
    <col min="13352" max="13356" width="2.109375" style="38" customWidth="1"/>
    <col min="13357" max="13568" width="9.109375" style="38"/>
    <col min="13569" max="13593" width="2.33203125" style="38" customWidth="1"/>
    <col min="13594" max="13598" width="2.109375" style="38" customWidth="1"/>
    <col min="13599" max="13607" width="2.33203125" style="38" customWidth="1"/>
    <col min="13608" max="13612" width="2.109375" style="38" customWidth="1"/>
    <col min="13613" max="13824" width="9.109375" style="38"/>
    <col min="13825" max="13849" width="2.33203125" style="38" customWidth="1"/>
    <col min="13850" max="13854" width="2.109375" style="38" customWidth="1"/>
    <col min="13855" max="13863" width="2.33203125" style="38" customWidth="1"/>
    <col min="13864" max="13868" width="2.109375" style="38" customWidth="1"/>
    <col min="13869" max="14080" width="9.109375" style="38"/>
    <col min="14081" max="14105" width="2.33203125" style="38" customWidth="1"/>
    <col min="14106" max="14110" width="2.109375" style="38" customWidth="1"/>
    <col min="14111" max="14119" width="2.33203125" style="38" customWidth="1"/>
    <col min="14120" max="14124" width="2.109375" style="38" customWidth="1"/>
    <col min="14125" max="14336" width="9.109375" style="38"/>
    <col min="14337" max="14361" width="2.33203125" style="38" customWidth="1"/>
    <col min="14362" max="14366" width="2.109375" style="38" customWidth="1"/>
    <col min="14367" max="14375" width="2.33203125" style="38" customWidth="1"/>
    <col min="14376" max="14380" width="2.109375" style="38" customWidth="1"/>
    <col min="14381" max="14592" width="9.109375" style="38"/>
    <col min="14593" max="14617" width="2.33203125" style="38" customWidth="1"/>
    <col min="14618" max="14622" width="2.109375" style="38" customWidth="1"/>
    <col min="14623" max="14631" width="2.33203125" style="38" customWidth="1"/>
    <col min="14632" max="14636" width="2.109375" style="38" customWidth="1"/>
    <col min="14637" max="14848" width="9.109375" style="38"/>
    <col min="14849" max="14873" width="2.33203125" style="38" customWidth="1"/>
    <col min="14874" max="14878" width="2.109375" style="38" customWidth="1"/>
    <col min="14879" max="14887" width="2.33203125" style="38" customWidth="1"/>
    <col min="14888" max="14892" width="2.109375" style="38" customWidth="1"/>
    <col min="14893" max="15104" width="9.109375" style="38"/>
    <col min="15105" max="15129" width="2.33203125" style="38" customWidth="1"/>
    <col min="15130" max="15134" width="2.109375" style="38" customWidth="1"/>
    <col min="15135" max="15143" width="2.33203125" style="38" customWidth="1"/>
    <col min="15144" max="15148" width="2.109375" style="38" customWidth="1"/>
    <col min="15149" max="15360" width="9.109375" style="38"/>
    <col min="15361" max="15385" width="2.33203125" style="38" customWidth="1"/>
    <col min="15386" max="15390" width="2.109375" style="38" customWidth="1"/>
    <col min="15391" max="15399" width="2.33203125" style="38" customWidth="1"/>
    <col min="15400" max="15404" width="2.109375" style="38" customWidth="1"/>
    <col min="15405" max="15616" width="9.109375" style="38"/>
    <col min="15617" max="15641" width="2.33203125" style="38" customWidth="1"/>
    <col min="15642" max="15646" width="2.109375" style="38" customWidth="1"/>
    <col min="15647" max="15655" width="2.33203125" style="38" customWidth="1"/>
    <col min="15656" max="15660" width="2.109375" style="38" customWidth="1"/>
    <col min="15661" max="15872" width="9.109375" style="38"/>
    <col min="15873" max="15897" width="2.33203125" style="38" customWidth="1"/>
    <col min="15898" max="15902" width="2.109375" style="38" customWidth="1"/>
    <col min="15903" max="15911" width="2.33203125" style="38" customWidth="1"/>
    <col min="15912" max="15916" width="2.109375" style="38" customWidth="1"/>
    <col min="15917" max="16128" width="9.109375" style="38"/>
    <col min="16129" max="16153" width="2.33203125" style="38" customWidth="1"/>
    <col min="16154" max="16158" width="2.109375" style="38" customWidth="1"/>
    <col min="16159" max="16167" width="2.33203125" style="38" customWidth="1"/>
    <col min="16168" max="16172" width="2.109375" style="38" customWidth="1"/>
    <col min="16173" max="16384" width="9.109375" style="38"/>
  </cols>
  <sheetData>
    <row r="1" spans="1:256" ht="20.399999999999999" x14ac:dyDescent="0.3">
      <c r="A1" s="37" t="s">
        <v>40</v>
      </c>
      <c r="AO1" s="41">
        <v>0</v>
      </c>
      <c r="AP1" s="42"/>
      <c r="AQ1" s="42"/>
      <c r="AR1" s="41">
        <v>0</v>
      </c>
      <c r="AV1" s="43">
        <v>1.3888888888888888E-2</v>
      </c>
    </row>
    <row r="2" spans="1:256" x14ac:dyDescent="0.3">
      <c r="A2" s="38" t="s">
        <v>42</v>
      </c>
      <c r="E2" s="38" t="s">
        <v>76</v>
      </c>
      <c r="P2" s="44" t="s">
        <v>22</v>
      </c>
      <c r="Q2" s="45"/>
      <c r="R2" s="45"/>
      <c r="S2" s="45"/>
      <c r="T2" s="45"/>
      <c r="U2" s="45"/>
      <c r="V2" s="45"/>
      <c r="W2" s="45" t="s">
        <v>3</v>
      </c>
      <c r="X2" s="45"/>
      <c r="Y2" s="46" t="s">
        <v>41</v>
      </c>
      <c r="Z2" s="45"/>
      <c r="AA2" s="45"/>
      <c r="AB2" s="45"/>
      <c r="AC2" s="45"/>
      <c r="AD2" s="47"/>
      <c r="AE2" s="48"/>
      <c r="AF2" s="48"/>
      <c r="AG2" s="49"/>
    </row>
    <row r="3" spans="1:256" ht="15" thickBot="1" x14ac:dyDescent="0.35">
      <c r="A3" s="38" t="s">
        <v>19</v>
      </c>
      <c r="D3" s="415">
        <f>Wedstrijden!I2</f>
        <v>45732</v>
      </c>
      <c r="E3" s="416"/>
      <c r="F3" s="416"/>
      <c r="G3" s="416"/>
      <c r="H3" s="416"/>
      <c r="I3" s="416"/>
      <c r="J3" s="416"/>
      <c r="K3" s="416"/>
      <c r="L3" s="416"/>
      <c r="M3" s="416"/>
      <c r="N3" s="417"/>
      <c r="P3" s="50" t="s">
        <v>18</v>
      </c>
      <c r="Q3" s="51" t="s">
        <v>43</v>
      </c>
      <c r="W3" s="38" t="s">
        <v>0</v>
      </c>
      <c r="Y3" s="51" t="s">
        <v>44</v>
      </c>
      <c r="AG3" s="52"/>
    </row>
    <row r="4" spans="1:256" x14ac:dyDescent="0.3">
      <c r="A4" s="38" t="s">
        <v>20</v>
      </c>
      <c r="D4" s="418">
        <v>6</v>
      </c>
      <c r="E4" s="418"/>
      <c r="F4" s="53"/>
      <c r="G4" s="419">
        <f>VLOOKUP(D4,Wedstrijden!A6:B57,2,0)</f>
        <v>0.57638888888888884</v>
      </c>
      <c r="H4" s="419"/>
      <c r="I4" s="419"/>
      <c r="J4" s="54" t="s">
        <v>16</v>
      </c>
      <c r="K4" s="419">
        <f>G4+AV1</f>
        <v>0.59027777777777768</v>
      </c>
      <c r="L4" s="419"/>
      <c r="M4" s="419"/>
      <c r="N4" s="53"/>
      <c r="P4" s="50" t="s">
        <v>17</v>
      </c>
      <c r="Q4" s="51" t="s">
        <v>45</v>
      </c>
      <c r="W4" s="38" t="s">
        <v>9</v>
      </c>
      <c r="Y4" s="51" t="s">
        <v>46</v>
      </c>
      <c r="AG4" s="52"/>
      <c r="BF4" s="406" t="s">
        <v>102</v>
      </c>
      <c r="BG4" s="407"/>
      <c r="BH4" s="407"/>
      <c r="BI4" s="408"/>
    </row>
    <row r="5" spans="1:256" x14ac:dyDescent="0.3">
      <c r="A5" s="38" t="s">
        <v>164</v>
      </c>
      <c r="D5" s="260" t="str">
        <f>VLOOKUP(D4,Wedstrijden!A6:D20,4,0)</f>
        <v>A</v>
      </c>
      <c r="P5" s="50" t="s">
        <v>10</v>
      </c>
      <c r="Q5" s="51" t="s">
        <v>47</v>
      </c>
      <c r="W5" s="38" t="s">
        <v>12</v>
      </c>
      <c r="Y5" s="51" t="s">
        <v>48</v>
      </c>
      <c r="AG5" s="52"/>
      <c r="BF5" s="409"/>
      <c r="BG5" s="410"/>
      <c r="BH5" s="410"/>
      <c r="BI5" s="411"/>
    </row>
    <row r="6" spans="1:256" ht="14.4" thickBot="1" x14ac:dyDescent="0.2">
      <c r="A6" s="38" t="s">
        <v>21</v>
      </c>
      <c r="D6" s="55" t="str">
        <f>Wedstrijden!K2</f>
        <v>Den Bosch</v>
      </c>
      <c r="P6" s="50" t="s">
        <v>11</v>
      </c>
      <c r="Q6" s="51" t="s">
        <v>49</v>
      </c>
      <c r="W6" s="38" t="s">
        <v>13</v>
      </c>
      <c r="Y6" s="51" t="s">
        <v>50</v>
      </c>
      <c r="AG6" s="52"/>
      <c r="AH6" s="354" t="s">
        <v>51</v>
      </c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BF6" s="412"/>
      <c r="BG6" s="413"/>
      <c r="BH6" s="413"/>
      <c r="BI6" s="414"/>
    </row>
    <row r="7" spans="1:256" x14ac:dyDescent="0.2">
      <c r="A7" s="56" t="s">
        <v>52</v>
      </c>
      <c r="B7" s="57"/>
      <c r="C7" s="57"/>
      <c r="D7" s="57"/>
      <c r="E7" s="58" t="s">
        <v>53</v>
      </c>
      <c r="F7" s="57"/>
      <c r="G7" s="59" t="str">
        <f>VLOOKUP(D4,Wedstrijden!A6:L57,5,0)</f>
        <v>SVG Den Bosch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 t="s">
        <v>54</v>
      </c>
      <c r="X7" s="57"/>
      <c r="Y7" s="57"/>
      <c r="Z7" s="58" t="s">
        <v>55</v>
      </c>
      <c r="AA7" s="58"/>
      <c r="AB7" s="57"/>
      <c r="AC7" s="59" t="str">
        <f>VLOOKUP(D4,Wedstrijden!A6:L57,9,0)</f>
        <v>Gesposs Geel</v>
      </c>
      <c r="AD7" s="60"/>
      <c r="AE7" s="61"/>
      <c r="AF7" s="61"/>
      <c r="AG7" s="61"/>
      <c r="AH7" s="61"/>
      <c r="AI7" s="61"/>
      <c r="AJ7" s="57"/>
      <c r="AK7" s="57"/>
      <c r="AL7" s="57"/>
      <c r="AM7" s="57"/>
      <c r="AN7" s="57"/>
      <c r="AO7" s="61"/>
      <c r="AP7" s="57"/>
      <c r="AQ7" s="57"/>
      <c r="AR7" s="62"/>
    </row>
    <row r="8" spans="1:256" x14ac:dyDescent="0.3">
      <c r="A8" s="63" t="s">
        <v>56</v>
      </c>
      <c r="B8" s="64"/>
      <c r="C8" s="64"/>
      <c r="D8" s="64"/>
      <c r="E8" s="64"/>
      <c r="F8" s="64"/>
      <c r="G8" s="64"/>
      <c r="H8" s="64"/>
      <c r="I8" s="64"/>
      <c r="J8" s="65" t="str">
        <f>VLOOKUP(D4,Wedstrijden!A6:P343,13,0)</f>
        <v>Kiki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 t="s">
        <v>57</v>
      </c>
      <c r="X8" s="64"/>
      <c r="Y8" s="64"/>
      <c r="Z8" s="66" t="str">
        <f>VLOOKUP(D4,Wedstrijden!A6:N170,14,0)</f>
        <v>Martijn</v>
      </c>
      <c r="AA8" s="64"/>
      <c r="AB8" s="64"/>
      <c r="AC8" s="64"/>
      <c r="AD8" s="67"/>
      <c r="AE8" s="68"/>
      <c r="AF8" s="68"/>
      <c r="AG8" s="68"/>
      <c r="AH8" s="68"/>
      <c r="AI8" s="68"/>
      <c r="AJ8" s="69" t="s">
        <v>17</v>
      </c>
      <c r="AK8" s="64"/>
      <c r="AL8" s="64"/>
      <c r="AM8" s="64"/>
      <c r="AN8" s="64"/>
      <c r="AO8" s="68"/>
      <c r="AP8" s="64"/>
      <c r="AQ8" s="64"/>
      <c r="AR8" s="70"/>
    </row>
    <row r="9" spans="1:256" ht="14.4" thickBot="1" x14ac:dyDescent="0.35">
      <c r="A9" s="71" t="s">
        <v>58</v>
      </c>
      <c r="B9" s="72"/>
      <c r="C9" s="72"/>
      <c r="D9" s="72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 t="s">
        <v>59</v>
      </c>
      <c r="X9" s="72"/>
      <c r="Y9" s="72"/>
      <c r="Z9" s="72"/>
      <c r="AA9" s="72"/>
      <c r="AB9" s="73"/>
      <c r="AC9" s="73"/>
      <c r="AD9" s="75"/>
      <c r="AE9" s="76"/>
      <c r="AF9" s="76"/>
      <c r="AG9" s="76"/>
      <c r="AH9" s="76"/>
      <c r="AI9" s="76"/>
      <c r="AJ9" s="73"/>
      <c r="AK9" s="73"/>
      <c r="AL9" s="73"/>
      <c r="AM9" s="73"/>
      <c r="AN9" s="73"/>
      <c r="AO9" s="76"/>
      <c r="AP9" s="73"/>
      <c r="AQ9" s="73"/>
      <c r="AR9" s="77"/>
    </row>
    <row r="10" spans="1:256" ht="15" x14ac:dyDescent="0.3">
      <c r="A10" s="78" t="s">
        <v>60</v>
      </c>
      <c r="B10" s="79"/>
      <c r="C10" s="79"/>
      <c r="D10" s="79"/>
      <c r="E10" s="79"/>
      <c r="F10" s="356" t="str">
        <f>+G7</f>
        <v>SVG Den Bosch</v>
      </c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7"/>
      <c r="Z10" s="362" t="s">
        <v>8</v>
      </c>
      <c r="AA10" s="363"/>
      <c r="AB10" s="363"/>
      <c r="AC10" s="363"/>
      <c r="AD10" s="364"/>
      <c r="AE10" s="80"/>
      <c r="AF10" s="80"/>
      <c r="AG10" s="80"/>
      <c r="AH10" s="80" t="s">
        <v>61</v>
      </c>
      <c r="AI10" s="80" t="s">
        <v>61</v>
      </c>
      <c r="AJ10" s="371" t="s">
        <v>14</v>
      </c>
      <c r="AK10" s="372"/>
      <c r="AL10" s="377" t="s">
        <v>62</v>
      </c>
      <c r="AM10" s="378"/>
      <c r="AN10" s="383" t="s">
        <v>15</v>
      </c>
      <c r="AO10" s="384"/>
      <c r="AP10" s="384"/>
      <c r="AQ10" s="384"/>
      <c r="AR10" s="385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2" t="s">
        <v>136</v>
      </c>
      <c r="BL10" s="82" t="str">
        <f>CONCATENATE($BL$12&amp;BK10&amp;"x")</f>
        <v>swwx</v>
      </c>
      <c r="BM10" s="82" t="str">
        <f>CONCATENATE($BM$12&amp;BK10&amp;"x")</f>
        <v>dwx</v>
      </c>
      <c r="BN10" s="82" t="str">
        <f>CONCATENATE($BN$12&amp;BK10&amp;"x")</f>
        <v>pwx</v>
      </c>
      <c r="BO10" s="82" t="str">
        <f>CONCATENATE($BO$12&amp;BK10&amp;"x")</f>
        <v>umvwx</v>
      </c>
      <c r="BP10" s="82" t="str">
        <f>CONCATENATE($BP$12&amp;BK10&amp;"x")</f>
        <v>uzvwx</v>
      </c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1" spans="1:256" x14ac:dyDescent="0.3">
      <c r="A11" s="393" t="s">
        <v>7</v>
      </c>
      <c r="B11" s="394"/>
      <c r="C11" s="394"/>
      <c r="D11" s="394"/>
      <c r="E11" s="81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  <c r="Z11" s="365"/>
      <c r="AA11" s="366"/>
      <c r="AB11" s="366"/>
      <c r="AC11" s="366"/>
      <c r="AD11" s="367"/>
      <c r="AE11" s="83" t="s">
        <v>63</v>
      </c>
      <c r="AF11" s="83"/>
      <c r="AG11" s="83"/>
      <c r="AH11" s="83" t="s">
        <v>64</v>
      </c>
      <c r="AI11" s="83" t="s">
        <v>65</v>
      </c>
      <c r="AJ11" s="373"/>
      <c r="AK11" s="374"/>
      <c r="AL11" s="379"/>
      <c r="AM11" s="380"/>
      <c r="AN11" s="386"/>
      <c r="AO11" s="387"/>
      <c r="AP11" s="387"/>
      <c r="AQ11" s="387"/>
      <c r="AR11" s="388"/>
      <c r="AS11" s="81"/>
      <c r="AT11" s="81"/>
      <c r="AU11" s="81" t="s">
        <v>17</v>
      </c>
      <c r="AV11" s="81" t="s">
        <v>18</v>
      </c>
      <c r="AW11" s="81" t="s">
        <v>77</v>
      </c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2" t="s">
        <v>142</v>
      </c>
      <c r="BL11" s="82" t="str">
        <f>CONCATENATE($BL$12&amp;BK11&amp;"x")</f>
        <v>swbx</v>
      </c>
      <c r="BM11" s="82" t="str">
        <f>CONCATENATE($BM$12&amp;BK11&amp;"x")</f>
        <v>dbx</v>
      </c>
      <c r="BN11" s="82" t="str">
        <f>CONCATENATE($BN$12&amp;BK11&amp;"x")</f>
        <v>pbx</v>
      </c>
      <c r="BO11" s="82" t="str">
        <f>CONCATENATE($BO$12&amp;BK11&amp;"x")</f>
        <v>umvbx</v>
      </c>
      <c r="BP11" s="82" t="str">
        <f>CONCATENATE($BP$12&amp;BK11&amp;"x")</f>
        <v>uzvbx</v>
      </c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</row>
    <row r="12" spans="1:256" ht="18" x14ac:dyDescent="0.35">
      <c r="A12" s="395"/>
      <c r="B12" s="396"/>
      <c r="C12" s="396"/>
      <c r="D12" s="394"/>
      <c r="E12" s="81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1"/>
      <c r="Z12" s="368"/>
      <c r="AA12" s="369"/>
      <c r="AB12" s="369"/>
      <c r="AC12" s="369"/>
      <c r="AD12" s="370"/>
      <c r="AE12" s="84" t="s">
        <v>17</v>
      </c>
      <c r="AF12" s="84" t="s">
        <v>10</v>
      </c>
      <c r="AG12" s="84" t="s">
        <v>11</v>
      </c>
      <c r="AH12" s="84" t="s">
        <v>66</v>
      </c>
      <c r="AI12" s="84" t="s">
        <v>66</v>
      </c>
      <c r="AJ12" s="375"/>
      <c r="AK12" s="376"/>
      <c r="AL12" s="381"/>
      <c r="AM12" s="382"/>
      <c r="AN12" s="389" t="s">
        <v>17</v>
      </c>
      <c r="AO12" s="369"/>
      <c r="AP12" s="85"/>
      <c r="AQ12" s="369" t="s">
        <v>18</v>
      </c>
      <c r="AR12" s="390"/>
      <c r="AS12" s="81"/>
      <c r="AT12" s="81"/>
      <c r="AU12" s="81" t="s">
        <v>78</v>
      </c>
      <c r="AV12" s="81" t="s">
        <v>79</v>
      </c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 t="s">
        <v>138</v>
      </c>
      <c r="BM12" s="81" t="s">
        <v>139</v>
      </c>
      <c r="BN12" s="81" t="s">
        <v>79</v>
      </c>
      <c r="BO12" s="81" t="s">
        <v>140</v>
      </c>
      <c r="BP12" s="81" t="s">
        <v>141</v>
      </c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</row>
    <row r="13" spans="1:256" ht="15.6" x14ac:dyDescent="0.3">
      <c r="A13" s="86" t="s">
        <v>0</v>
      </c>
      <c r="B13" s="87" t="s">
        <v>1</v>
      </c>
      <c r="C13" s="88"/>
      <c r="D13" s="89"/>
      <c r="E13" s="88" t="s">
        <v>2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90"/>
      <c r="V13" s="91" t="s">
        <v>3</v>
      </c>
      <c r="W13" s="91" t="s">
        <v>4</v>
      </c>
      <c r="X13" s="91" t="s">
        <v>5</v>
      </c>
      <c r="Y13" s="92" t="s">
        <v>6</v>
      </c>
      <c r="Z13" s="93"/>
      <c r="AA13" s="94">
        <v>4</v>
      </c>
      <c r="AB13" s="95" t="s">
        <v>16</v>
      </c>
      <c r="AC13" s="94">
        <v>5</v>
      </c>
      <c r="AD13" s="96">
        <v>0</v>
      </c>
      <c r="AE13" s="97"/>
      <c r="AF13" s="97"/>
      <c r="AG13" s="98" t="s">
        <v>265</v>
      </c>
      <c r="AH13" s="99"/>
      <c r="AI13" s="99"/>
      <c r="AJ13" s="391" t="s">
        <v>17</v>
      </c>
      <c r="AK13" s="392"/>
      <c r="AL13" s="401">
        <v>7</v>
      </c>
      <c r="AM13" s="402"/>
      <c r="AN13" s="100"/>
      <c r="AO13" s="101">
        <f>IF(BQ13="","",IF(BQ13=$BL$10,"2"+AO1,IF(BQ13=$BM$10,"1"+AO1,IF(BQ13=$BN$10,"0"+AO1,IF(BQ13=$BO$10,"0"+AO1,IF(BQ13=$BP$10,"0"+AO1,"0"+AO1))))))</f>
        <v>1</v>
      </c>
      <c r="AP13" s="95" t="s">
        <v>16</v>
      </c>
      <c r="AQ13" s="102"/>
      <c r="AR13" s="103">
        <f>IF(BQ13="","",IF(BQ13=$BL$11,"2"+AR1,IF(BQ13=$BM$11,"1"+AR1,IF(BQ13=$BN$11,"0"+AR1,IF(BQ13=$BO$11,"0"+AR1,IF(BQ13=$BP$11,"0"+AR1,"0"+AR1))))))</f>
        <v>0</v>
      </c>
      <c r="AY13" s="38" t="str">
        <f>CONCATENATE(AJ13&amp;AL13)</f>
        <v>W7</v>
      </c>
      <c r="AZ13" s="38" t="str">
        <f>IF(AE13=$AW$11,"2","0")</f>
        <v>0</v>
      </c>
      <c r="BA13" s="38" t="str">
        <f>IF(AG13=$AW$11,"1","0")</f>
        <v>1</v>
      </c>
      <c r="BB13" s="38" t="str">
        <f>IF(AF13=$AW$11,"1","0")</f>
        <v>0</v>
      </c>
      <c r="BC13" s="38">
        <f>AZ13+BA13</f>
        <v>1</v>
      </c>
      <c r="BD13" s="38">
        <f>BB13+0</f>
        <v>0</v>
      </c>
      <c r="BL13" s="38" t="str">
        <f>IF(AE13="","",CONCATENATE($BL$12&amp;AJ13&amp;AE13))</f>
        <v/>
      </c>
      <c r="BM13" s="38" t="str">
        <f>IF(AG13="","",CONCATENATE($BM$12&amp;AJ13&amp;AG13))</f>
        <v>dWX</v>
      </c>
      <c r="BN13" s="38" t="str">
        <f>IF(AF13="","",CONCATENATE($BN$12&amp;AJ13,AF13))</f>
        <v/>
      </c>
      <c r="BO13" s="38" t="str">
        <f>IF(AH13="","",CONCATENATE($BO$12&amp;AJ13&amp;AH13))</f>
        <v/>
      </c>
      <c r="BP13" s="38" t="str">
        <f>IF(AI13="","",CONCATENATE($BP$12&amp;AJ13&amp;AI13))</f>
        <v/>
      </c>
      <c r="BQ13" s="38" t="str">
        <f>CONCATENATE(BL13&amp;BM13&amp;BN13&amp;BO13&amp;BP13)</f>
        <v>dWX</v>
      </c>
    </row>
    <row r="14" spans="1:256" ht="15.6" x14ac:dyDescent="0.3">
      <c r="A14" s="104" t="s">
        <v>265</v>
      </c>
      <c r="B14" s="397">
        <f>IF(ISBLANK(HLOOKUP($F$10,spelerslijsten!$B$1:$J$22,4,FALSE)),"",HLOOKUP($F$10,spelerslijsten!$B$1:$J$22,4,FALSE))</f>
        <v>3</v>
      </c>
      <c r="C14" s="398"/>
      <c r="D14" s="105"/>
      <c r="E14" s="106" t="str">
        <f>IF(ISBLANK(HLOOKUP($F$10,spelerslijsten!$B$1:$J$22,3,FALSE)),"",HLOOKUP($F$10,spelerslijsten!$B$1:$J$22,3,FALSE))</f>
        <v>Bjorn Blom</v>
      </c>
      <c r="F14" s="107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8">
        <f t="shared" ref="V14:V20" si="0">SUMIF($AY$13:$AY$46,AT14,$BC$13:$BC$46)</f>
        <v>0</v>
      </c>
      <c r="W14" s="109" t="str">
        <f>IF(AU14&gt;0,"x","")</f>
        <v/>
      </c>
      <c r="X14" s="110" t="str">
        <f>IF(AU14&gt;1,"x","")</f>
        <v/>
      </c>
      <c r="Y14" s="103" t="str">
        <f>IF(AU14&gt;2,"x","")</f>
        <v/>
      </c>
      <c r="Z14" s="111"/>
      <c r="AA14" s="112">
        <v>6</v>
      </c>
      <c r="AB14" s="113" t="str">
        <f>+AB13</f>
        <v>-</v>
      </c>
      <c r="AC14" s="112">
        <v>2</v>
      </c>
      <c r="AD14" s="114">
        <v>0</v>
      </c>
      <c r="AE14" s="115"/>
      <c r="AF14" s="115"/>
      <c r="AG14" s="116" t="s">
        <v>265</v>
      </c>
      <c r="AH14" s="117"/>
      <c r="AI14" s="117"/>
      <c r="AJ14" s="342" t="s">
        <v>17</v>
      </c>
      <c r="AK14" s="343"/>
      <c r="AL14" s="346">
        <v>5</v>
      </c>
      <c r="AM14" s="347"/>
      <c r="AN14" s="118"/>
      <c r="AO14" s="101">
        <f>IF(BQ14="","",IF(BQ14=$BL$10,"2"+AO13,IF(BQ14=$BM$10,"1"+AO13,IF(BQ14=$BN$10,"0"+AO13,IF(BQ14=$BO$10,"0"+AO13,IF(BQ14=$BP$10,"0"+AO13,"0"+AO13))))))</f>
        <v>2</v>
      </c>
      <c r="AP14" s="113" t="str">
        <f>+AP13</f>
        <v>-</v>
      </c>
      <c r="AQ14" s="119"/>
      <c r="AR14" s="103">
        <f>IF(BQ14="","",IF(BQ14=$BL$11,"2"+AR13,IF(BQ14=$BM$11,"1"+AR13,IF(BQ14=$BN$11,"0"+AR13,IF(BQ14=$BO$11,"0"+AR13,IF(BQ14=$BP$11,"0"+AR13,"0"+AR13))))))</f>
        <v>0</v>
      </c>
      <c r="AT14" s="38" t="str">
        <f>CONCATENATE($AU$11&amp;B14)</f>
        <v>W3</v>
      </c>
      <c r="AU14" s="38">
        <f>SUMIF($AY$13:$AY$46,AT14,$BD$13:$BD$46)</f>
        <v>0</v>
      </c>
      <c r="AY14" s="38" t="str">
        <f t="shared" ref="AY14:AY46" si="1">CONCATENATE(AJ14&amp;AL14)</f>
        <v>W5</v>
      </c>
      <c r="AZ14" s="38" t="str">
        <f t="shared" ref="AZ14:AZ46" si="2">IF(AE14=$AW$11,"2","0")</f>
        <v>0</v>
      </c>
      <c r="BA14" s="38" t="str">
        <f t="shared" ref="BA14:BA46" si="3">IF(AG14=$AW$11,"1","0")</f>
        <v>1</v>
      </c>
      <c r="BB14" s="38" t="str">
        <f t="shared" ref="BB14:BB46" si="4">IF(AF14=$AW$11,"1","0")</f>
        <v>0</v>
      </c>
      <c r="BC14" s="38">
        <f t="shared" ref="BC14:BC46" si="5">AZ14+BA14</f>
        <v>1</v>
      </c>
      <c r="BD14" s="38">
        <f t="shared" ref="BD14:BD46" si="6">BB14+0</f>
        <v>0</v>
      </c>
      <c r="BL14" s="38" t="str">
        <f t="shared" ref="BL14:BL46" si="7">IF(AE14="","",CONCATENATE($BL$12&amp;AJ14&amp;AE14))</f>
        <v/>
      </c>
      <c r="BM14" s="38" t="str">
        <f t="shared" ref="BM14:BM46" si="8">IF(AG14="","",CONCATENATE($BM$12&amp;AJ14&amp;AG14))</f>
        <v>dWX</v>
      </c>
      <c r="BN14" s="38" t="str">
        <f t="shared" ref="BN14:BN46" si="9">IF(AF14="","",CONCATENATE($BN$12&amp;AJ14,AF14))</f>
        <v/>
      </c>
      <c r="BO14" s="38" t="str">
        <f t="shared" ref="BO14:BO46" si="10">IF(AH14="","",CONCATENATE($BO$12&amp;AJ14&amp;AH14))</f>
        <v/>
      </c>
      <c r="BP14" s="38" t="str">
        <f t="shared" ref="BP14:BP46" si="11">IF(AI14="","",CONCATENATE($BP$12&amp;AJ14&amp;AI14))</f>
        <v/>
      </c>
      <c r="BQ14" s="38" t="str">
        <f t="shared" ref="BQ14:BQ46" si="12">CONCATENATE(BL14&amp;BM14&amp;BN14&amp;BO14&amp;BP14)</f>
        <v>dWX</v>
      </c>
    </row>
    <row r="15" spans="1:256" ht="15.6" x14ac:dyDescent="0.3">
      <c r="A15" s="120" t="s">
        <v>265</v>
      </c>
      <c r="B15" s="397">
        <f>IF(ISBLANK(HLOOKUP($F$10,spelerslijsten!$B$1:$J$22,6,FALSE)),"",HLOOKUP($F$10,spelerslijsten!$B$1:$J$22,6,FALSE))</f>
        <v>4</v>
      </c>
      <c r="C15" s="398"/>
      <c r="D15" s="121"/>
      <c r="E15" s="122" t="str">
        <f>IF(ISBLANK(HLOOKUP($F$10,spelerslijsten!$B$1:$J$22,5,FALSE)),"",HLOOKUP($F$10,spelerslijsten!$B$1:$J$22,5,FALSE))</f>
        <v>Wesley van Eldijk</v>
      </c>
      <c r="F15" s="123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08">
        <f t="shared" si="0"/>
        <v>0</v>
      </c>
      <c r="W15" s="109" t="str">
        <f t="shared" ref="W15:W23" si="13">IF(AU15&gt;0,"x","")</f>
        <v>x</v>
      </c>
      <c r="X15" s="110" t="str">
        <f t="shared" ref="X15:X23" si="14">IF(AU15&gt;1,"x","")</f>
        <v/>
      </c>
      <c r="Y15" s="103" t="str">
        <f t="shared" ref="Y15:Y23" si="15">IF(AU15&gt;2,"x","")</f>
        <v/>
      </c>
      <c r="Z15" s="111">
        <v>1</v>
      </c>
      <c r="AA15" s="112">
        <v>0</v>
      </c>
      <c r="AB15" s="113" t="str">
        <f t="shared" ref="AB15:AB44" si="16">+AB14</f>
        <v>-</v>
      </c>
      <c r="AC15" s="112">
        <v>1</v>
      </c>
      <c r="AD15" s="114">
        <v>4</v>
      </c>
      <c r="AE15" s="115"/>
      <c r="AF15" s="115"/>
      <c r="AG15" s="116" t="s">
        <v>265</v>
      </c>
      <c r="AH15" s="117"/>
      <c r="AI15" s="117"/>
      <c r="AJ15" s="342" t="s">
        <v>17</v>
      </c>
      <c r="AK15" s="343"/>
      <c r="AL15" s="346">
        <v>7</v>
      </c>
      <c r="AM15" s="347"/>
      <c r="AN15" s="118"/>
      <c r="AO15" s="101">
        <f>IF(BQ15="","",IF(BQ15=$BL$10,"2"+AO14,IF(BQ15=$BM$10,"1"+AO14,IF(BQ15=$BN$10,"0"+AO14,IF(BQ15=$BO$10,"0"+AO14,IF(BQ15=$BP$10,"0"+AO14,"0"+AO14))))))</f>
        <v>3</v>
      </c>
      <c r="AP15" s="113" t="str">
        <f>+AP14</f>
        <v>-</v>
      </c>
      <c r="AQ15" s="119"/>
      <c r="AR15" s="103">
        <f>IF(BQ15="","",IF(BQ15=$BL$11,"2"+AR14,IF(BQ15=$BM$11,"1"+AR14,IF(BQ15=$BN$11,"0"+AR14,IF(BQ15=$BO$11,"0"+AR14,IF(BQ15=$BP$11,"0"+AR14,"0"+AR14))))))</f>
        <v>0</v>
      </c>
      <c r="AT15" s="38" t="str">
        <f t="shared" ref="AT15:AT23" si="17">CONCATENATE($AU$11&amp;B15)</f>
        <v>W4</v>
      </c>
      <c r="AU15" s="38">
        <f t="shared" ref="AU15:AU39" si="18">SUMIF($AY$13:$AY$46,AT15,$BD$13:$BD$46)</f>
        <v>1</v>
      </c>
      <c r="AY15" s="38" t="str">
        <f t="shared" si="1"/>
        <v>W7</v>
      </c>
      <c r="AZ15" s="38" t="str">
        <f t="shared" si="2"/>
        <v>0</v>
      </c>
      <c r="BA15" s="38" t="str">
        <f t="shared" si="3"/>
        <v>1</v>
      </c>
      <c r="BB15" s="38" t="str">
        <f t="shared" si="4"/>
        <v>0</v>
      </c>
      <c r="BC15" s="38">
        <f t="shared" si="5"/>
        <v>1</v>
      </c>
      <c r="BD15" s="38">
        <f t="shared" si="6"/>
        <v>0</v>
      </c>
      <c r="BL15" s="38" t="str">
        <f t="shared" si="7"/>
        <v/>
      </c>
      <c r="BM15" s="38" t="str">
        <f t="shared" si="8"/>
        <v>dWX</v>
      </c>
      <c r="BN15" s="38" t="str">
        <f t="shared" si="9"/>
        <v/>
      </c>
      <c r="BO15" s="38" t="str">
        <f t="shared" si="10"/>
        <v/>
      </c>
      <c r="BP15" s="38" t="str">
        <f t="shared" si="11"/>
        <v/>
      </c>
      <c r="BQ15" s="38" t="str">
        <f t="shared" si="12"/>
        <v>dWX</v>
      </c>
    </row>
    <row r="16" spans="1:256" ht="15.6" x14ac:dyDescent="0.3">
      <c r="A16" s="124" t="s">
        <v>265</v>
      </c>
      <c r="B16" s="397">
        <f>IF(ISBLANK(HLOOKUP($F$10,spelerslijsten!$B$1:$J$22,8,FALSE)),"",HLOOKUP($F$10,spelerslijsten!$B$1:$J$22,8,FALSE))</f>
        <v>5</v>
      </c>
      <c r="C16" s="398"/>
      <c r="D16" s="121"/>
      <c r="E16" s="122" t="str">
        <f>IF(ISBLANK(HLOOKUP($F$10,spelerslijsten!$B$1:$J$22,7,FALSE)),"",HLOOKUP($F$10,spelerslijsten!$B$1:$J$22,7,FALSE))</f>
        <v>Jurriaan Rijnaars</v>
      </c>
      <c r="F16" s="12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08">
        <f t="shared" si="0"/>
        <v>1</v>
      </c>
      <c r="W16" s="109" t="str">
        <f t="shared" si="13"/>
        <v/>
      </c>
      <c r="X16" s="110" t="str">
        <f t="shared" si="14"/>
        <v/>
      </c>
      <c r="Y16" s="103" t="str">
        <f t="shared" si="15"/>
        <v/>
      </c>
      <c r="Z16" s="111">
        <v>1</v>
      </c>
      <c r="AA16" s="112">
        <v>1</v>
      </c>
      <c r="AB16" s="113" t="str">
        <f t="shared" si="16"/>
        <v>-</v>
      </c>
      <c r="AC16" s="112">
        <v>3</v>
      </c>
      <c r="AD16" s="114">
        <v>6</v>
      </c>
      <c r="AE16" s="115"/>
      <c r="AF16" s="115" t="s">
        <v>265</v>
      </c>
      <c r="AG16" s="116"/>
      <c r="AH16" s="117"/>
      <c r="AI16" s="117"/>
      <c r="AJ16" s="342" t="s">
        <v>17</v>
      </c>
      <c r="AK16" s="343"/>
      <c r="AL16" s="346">
        <v>4</v>
      </c>
      <c r="AM16" s="347"/>
      <c r="AN16" s="118"/>
      <c r="AO16" s="101">
        <f t="shared" ref="AO16:AO46" si="19">IF(BQ16="","",IF(BQ16=$BL$10,"2"+AO15,IF(BQ16=$BM$10,"1"+AO15,IF(BQ16=$BN$10,"0"+AO15,IF(BQ16=$BO$10,"0"+AO15,IF(BQ16=$BP$10,"0"+AO15,"0"+AO15))))))</f>
        <v>3</v>
      </c>
      <c r="AP16" s="113" t="str">
        <f t="shared" ref="AP16:AP46" si="20">+AP15</f>
        <v>-</v>
      </c>
      <c r="AQ16" s="119"/>
      <c r="AR16" s="103">
        <f t="shared" ref="AR16:AR46" si="21">IF(BQ16="","",IF(BQ16=$BL$11,"2"+AR15,IF(BQ16=$BM$11,"1"+AR15,IF(BQ16=$BN$11,"0"+AR15,IF(BQ16=$BO$11,"0"+AR15,IF(BQ16=$BP$11,"0"+AR15,"0"+AR15))))))</f>
        <v>0</v>
      </c>
      <c r="AT16" s="38" t="str">
        <f t="shared" si="17"/>
        <v>W5</v>
      </c>
      <c r="AU16" s="38">
        <f t="shared" si="18"/>
        <v>0</v>
      </c>
      <c r="AY16" s="38" t="str">
        <f t="shared" si="1"/>
        <v>W4</v>
      </c>
      <c r="AZ16" s="38" t="str">
        <f t="shared" si="2"/>
        <v>0</v>
      </c>
      <c r="BA16" s="38" t="str">
        <f t="shared" si="3"/>
        <v>0</v>
      </c>
      <c r="BB16" s="38" t="str">
        <f t="shared" si="4"/>
        <v>1</v>
      </c>
      <c r="BC16" s="38">
        <f t="shared" si="5"/>
        <v>0</v>
      </c>
      <c r="BD16" s="38">
        <f t="shared" si="6"/>
        <v>1</v>
      </c>
      <c r="BL16" s="38" t="str">
        <f t="shared" si="7"/>
        <v/>
      </c>
      <c r="BM16" s="38" t="str">
        <f t="shared" si="8"/>
        <v/>
      </c>
      <c r="BN16" s="38" t="str">
        <f t="shared" si="9"/>
        <v>pWX</v>
      </c>
      <c r="BO16" s="38" t="str">
        <f t="shared" si="10"/>
        <v/>
      </c>
      <c r="BP16" s="38" t="str">
        <f t="shared" si="11"/>
        <v/>
      </c>
      <c r="BQ16" s="38" t="str">
        <f t="shared" si="12"/>
        <v>pWX</v>
      </c>
    </row>
    <row r="17" spans="1:69" ht="15.6" x14ac:dyDescent="0.3">
      <c r="A17" s="124"/>
      <c r="B17" s="397">
        <f>IF(ISBLANK(HLOOKUP($F$10,spelerslijsten!$B$1:$J$22,10,FALSE)),"",HLOOKUP($F$10,spelerslijsten!$B$1:$J$22,10,FALSE))</f>
        <v>6</v>
      </c>
      <c r="C17" s="398"/>
      <c r="D17" s="121"/>
      <c r="E17" s="122" t="str">
        <f>IF(ISBLANK(HLOOKUP($F$10,spelerslijsten!$B$1:$J$22,9,FALSE)),"",HLOOKUP($F$10,spelerslijsten!$B$1:$J$22,9,FALSE))</f>
        <v>Lucas van Osch</v>
      </c>
      <c r="F17" s="12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08">
        <f t="shared" si="0"/>
        <v>0</v>
      </c>
      <c r="W17" s="109" t="str">
        <f t="shared" si="13"/>
        <v/>
      </c>
      <c r="X17" s="110" t="str">
        <f t="shared" si="14"/>
        <v/>
      </c>
      <c r="Y17" s="103" t="str">
        <f t="shared" si="15"/>
        <v/>
      </c>
      <c r="Z17" s="111">
        <v>1</v>
      </c>
      <c r="AA17" s="112">
        <v>2</v>
      </c>
      <c r="AB17" s="113" t="str">
        <f t="shared" si="16"/>
        <v>-</v>
      </c>
      <c r="AC17" s="112">
        <v>4</v>
      </c>
      <c r="AD17" s="114">
        <v>0</v>
      </c>
      <c r="AE17" s="115"/>
      <c r="AF17" s="115"/>
      <c r="AG17" s="116" t="s">
        <v>265</v>
      </c>
      <c r="AH17" s="117"/>
      <c r="AI17" s="117"/>
      <c r="AJ17" s="342" t="s">
        <v>18</v>
      </c>
      <c r="AK17" s="343"/>
      <c r="AL17" s="346">
        <v>2</v>
      </c>
      <c r="AM17" s="347"/>
      <c r="AN17" s="118"/>
      <c r="AO17" s="101">
        <f t="shared" si="19"/>
        <v>3</v>
      </c>
      <c r="AP17" s="113" t="str">
        <f t="shared" si="20"/>
        <v>-</v>
      </c>
      <c r="AQ17" s="119"/>
      <c r="AR17" s="103">
        <f t="shared" si="21"/>
        <v>1</v>
      </c>
      <c r="AT17" s="38" t="str">
        <f t="shared" si="17"/>
        <v>W6</v>
      </c>
      <c r="AU17" s="38">
        <f t="shared" si="18"/>
        <v>0</v>
      </c>
      <c r="AY17" s="38" t="str">
        <f t="shared" si="1"/>
        <v>B2</v>
      </c>
      <c r="AZ17" s="38" t="str">
        <f t="shared" si="2"/>
        <v>0</v>
      </c>
      <c r="BA17" s="38" t="str">
        <f t="shared" si="3"/>
        <v>1</v>
      </c>
      <c r="BB17" s="38" t="str">
        <f t="shared" si="4"/>
        <v>0</v>
      </c>
      <c r="BC17" s="38">
        <f t="shared" si="5"/>
        <v>1</v>
      </c>
      <c r="BD17" s="38">
        <f t="shared" si="6"/>
        <v>0</v>
      </c>
      <c r="BL17" s="38" t="str">
        <f t="shared" si="7"/>
        <v/>
      </c>
      <c r="BM17" s="38" t="str">
        <f t="shared" si="8"/>
        <v>dBX</v>
      </c>
      <c r="BN17" s="38" t="str">
        <f t="shared" si="9"/>
        <v/>
      </c>
      <c r="BO17" s="38" t="str">
        <f t="shared" si="10"/>
        <v/>
      </c>
      <c r="BP17" s="38" t="str">
        <f t="shared" si="11"/>
        <v/>
      </c>
      <c r="BQ17" s="38" t="str">
        <f t="shared" si="12"/>
        <v>dBX</v>
      </c>
    </row>
    <row r="18" spans="1:69" ht="15.6" x14ac:dyDescent="0.3">
      <c r="A18" s="124" t="s">
        <v>265</v>
      </c>
      <c r="B18" s="397">
        <f>IF(ISBLANK(HLOOKUP($F$10,spelerslijsten!$B$1:$J$22,12,FALSE)),"",HLOOKUP($F$10,spelerslijsten!$B$1:$J$22,12,FALSE))</f>
        <v>7</v>
      </c>
      <c r="C18" s="398"/>
      <c r="D18" s="121"/>
      <c r="E18" s="122" t="str">
        <f>IF(ISBLANK(HLOOKUP($F$10,spelerslijsten!$B$1:$J$22,11,FALSE)),"",HLOOKUP($F$10,spelerslijsten!$B$1:$J$22,11,FALSE))</f>
        <v>Helmi van Hirtum</v>
      </c>
      <c r="F18" s="12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08">
        <f t="shared" si="0"/>
        <v>2</v>
      </c>
      <c r="W18" s="109" t="str">
        <f t="shared" si="13"/>
        <v/>
      </c>
      <c r="X18" s="110" t="str">
        <f t="shared" si="14"/>
        <v/>
      </c>
      <c r="Y18" s="103" t="str">
        <f t="shared" si="15"/>
        <v/>
      </c>
      <c r="Z18" s="111"/>
      <c r="AA18" s="112"/>
      <c r="AB18" s="113" t="s">
        <v>16</v>
      </c>
      <c r="AC18" s="112"/>
      <c r="AD18" s="114"/>
      <c r="AE18" s="115"/>
      <c r="AF18" s="115"/>
      <c r="AG18" s="116"/>
      <c r="AH18" s="117"/>
      <c r="AI18" s="117"/>
      <c r="AJ18" s="342"/>
      <c r="AK18" s="343"/>
      <c r="AL18" s="346"/>
      <c r="AM18" s="347"/>
      <c r="AN18" s="118"/>
      <c r="AO18" s="101" t="str">
        <f t="shared" si="19"/>
        <v/>
      </c>
      <c r="AP18" s="113" t="str">
        <f t="shared" si="20"/>
        <v>-</v>
      </c>
      <c r="AQ18" s="119"/>
      <c r="AR18" s="103" t="str">
        <f t="shared" si="21"/>
        <v/>
      </c>
      <c r="AT18" s="38" t="str">
        <f t="shared" si="17"/>
        <v>W7</v>
      </c>
      <c r="AU18" s="38">
        <f t="shared" si="18"/>
        <v>0</v>
      </c>
      <c r="AY18" s="38" t="str">
        <f t="shared" si="1"/>
        <v/>
      </c>
      <c r="AZ18" s="38" t="str">
        <f t="shared" si="2"/>
        <v>0</v>
      </c>
      <c r="BA18" s="38" t="str">
        <f t="shared" si="3"/>
        <v>0</v>
      </c>
      <c r="BB18" s="38" t="str">
        <f t="shared" si="4"/>
        <v>0</v>
      </c>
      <c r="BC18" s="38">
        <f t="shared" si="5"/>
        <v>0</v>
      </c>
      <c r="BD18" s="38">
        <f t="shared" si="6"/>
        <v>0</v>
      </c>
      <c r="BL18" s="38" t="str">
        <f t="shared" si="7"/>
        <v/>
      </c>
      <c r="BM18" s="38" t="str">
        <f t="shared" si="8"/>
        <v/>
      </c>
      <c r="BN18" s="38" t="str">
        <f t="shared" si="9"/>
        <v/>
      </c>
      <c r="BO18" s="38" t="str">
        <f t="shared" si="10"/>
        <v/>
      </c>
      <c r="BP18" s="38" t="str">
        <f t="shared" si="11"/>
        <v/>
      </c>
      <c r="BQ18" s="38" t="str">
        <f t="shared" si="12"/>
        <v/>
      </c>
    </row>
    <row r="19" spans="1:69" ht="15.6" x14ac:dyDescent="0.3">
      <c r="A19" s="124"/>
      <c r="B19" s="397">
        <f>IF(ISBLANK(HLOOKUP($F$10,spelerslijsten!$B$1:$J$22,14,FALSE)),"",HLOOKUP($F$10,spelerslijsten!$B$1:$J$22,14,FALSE))</f>
        <v>8</v>
      </c>
      <c r="C19" s="398"/>
      <c r="D19" s="121"/>
      <c r="E19" s="122" t="str">
        <f>IF(ISBLANK(HLOOKUP($F$10,spelerslijsten!$B$1:$J$22,13,FALSE)),"",HLOOKUP($F$10,spelerslijsten!$B$1:$J$22,13,FALSE))</f>
        <v>Sara van Grinsven</v>
      </c>
      <c r="F19" s="12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08">
        <f t="shared" si="0"/>
        <v>0</v>
      </c>
      <c r="W19" s="109" t="str">
        <f t="shared" si="13"/>
        <v/>
      </c>
      <c r="X19" s="110" t="str">
        <f t="shared" si="14"/>
        <v/>
      </c>
      <c r="Y19" s="103" t="str">
        <f t="shared" si="15"/>
        <v/>
      </c>
      <c r="Z19" s="111"/>
      <c r="AA19" s="112"/>
      <c r="AB19" s="113" t="str">
        <f t="shared" si="16"/>
        <v>-</v>
      </c>
      <c r="AC19" s="112"/>
      <c r="AD19" s="114"/>
      <c r="AE19" s="115"/>
      <c r="AF19" s="115"/>
      <c r="AG19" s="116"/>
      <c r="AH19" s="117"/>
      <c r="AI19" s="117"/>
      <c r="AJ19" s="342"/>
      <c r="AK19" s="343"/>
      <c r="AL19" s="346"/>
      <c r="AM19" s="347"/>
      <c r="AN19" s="118"/>
      <c r="AO19" s="101" t="str">
        <f t="shared" si="19"/>
        <v/>
      </c>
      <c r="AP19" s="113" t="str">
        <f t="shared" si="20"/>
        <v>-</v>
      </c>
      <c r="AQ19" s="119"/>
      <c r="AR19" s="103" t="str">
        <f t="shared" si="21"/>
        <v/>
      </c>
      <c r="AT19" s="38" t="str">
        <f t="shared" si="17"/>
        <v>W8</v>
      </c>
      <c r="AU19" s="38">
        <f t="shared" si="18"/>
        <v>0</v>
      </c>
      <c r="AY19" s="38" t="str">
        <f t="shared" si="1"/>
        <v/>
      </c>
      <c r="AZ19" s="38" t="str">
        <f t="shared" si="2"/>
        <v>0</v>
      </c>
      <c r="BA19" s="38" t="str">
        <f t="shared" si="3"/>
        <v>0</v>
      </c>
      <c r="BB19" s="38" t="str">
        <f t="shared" si="4"/>
        <v>0</v>
      </c>
      <c r="BC19" s="38">
        <f t="shared" si="5"/>
        <v>0</v>
      </c>
      <c r="BD19" s="38">
        <f t="shared" si="6"/>
        <v>0</v>
      </c>
      <c r="BL19" s="38" t="str">
        <f t="shared" si="7"/>
        <v/>
      </c>
      <c r="BM19" s="38" t="str">
        <f t="shared" si="8"/>
        <v/>
      </c>
      <c r="BN19" s="38" t="str">
        <f t="shared" si="9"/>
        <v/>
      </c>
      <c r="BO19" s="38" t="str">
        <f t="shared" si="10"/>
        <v/>
      </c>
      <c r="BP19" s="38" t="str">
        <f t="shared" si="11"/>
        <v/>
      </c>
      <c r="BQ19" s="38" t="str">
        <f t="shared" si="12"/>
        <v/>
      </c>
    </row>
    <row r="20" spans="1:69" ht="15.6" x14ac:dyDescent="0.3">
      <c r="A20" s="124" t="s">
        <v>265</v>
      </c>
      <c r="B20" s="397">
        <f>IF(ISBLANK(HLOOKUP($F$10,spelerslijsten!$B$1:$J$22,16,FALSE)),"",HLOOKUP($F$10,spelerslijsten!$B$1:$J$22,16,FALSE))</f>
        <v>9</v>
      </c>
      <c r="C20" s="398"/>
      <c r="D20" s="121"/>
      <c r="E20" s="122" t="str">
        <f>IF(ISBLANK(HLOOKUP($F$10,spelerslijsten!$B$1:$J$22,15,FALSE)),"",HLOOKUP($F$10,spelerslijsten!$B$1:$J$22,15,FALSE))</f>
        <v>Robby van Gruythuysen</v>
      </c>
      <c r="F20" s="12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08">
        <f t="shared" si="0"/>
        <v>0</v>
      </c>
      <c r="W20" s="109" t="str">
        <f t="shared" si="13"/>
        <v/>
      </c>
      <c r="X20" s="110" t="str">
        <f t="shared" si="14"/>
        <v/>
      </c>
      <c r="Y20" s="103" t="str">
        <f t="shared" si="15"/>
        <v/>
      </c>
      <c r="Z20" s="111"/>
      <c r="AA20" s="112"/>
      <c r="AB20" s="113" t="str">
        <f t="shared" si="16"/>
        <v>-</v>
      </c>
      <c r="AC20" s="112"/>
      <c r="AD20" s="114"/>
      <c r="AE20" s="115"/>
      <c r="AF20" s="115"/>
      <c r="AG20" s="116"/>
      <c r="AH20" s="117"/>
      <c r="AI20" s="117"/>
      <c r="AJ20" s="342"/>
      <c r="AK20" s="343"/>
      <c r="AL20" s="346"/>
      <c r="AM20" s="347"/>
      <c r="AN20" s="118"/>
      <c r="AO20" s="101" t="str">
        <f t="shared" si="19"/>
        <v/>
      </c>
      <c r="AP20" s="113" t="str">
        <f t="shared" si="20"/>
        <v>-</v>
      </c>
      <c r="AQ20" s="119"/>
      <c r="AR20" s="103" t="str">
        <f t="shared" si="21"/>
        <v/>
      </c>
      <c r="AT20" s="38" t="str">
        <f t="shared" si="17"/>
        <v>W9</v>
      </c>
      <c r="AU20" s="38">
        <f t="shared" si="18"/>
        <v>0</v>
      </c>
      <c r="AY20" s="38" t="str">
        <f t="shared" si="1"/>
        <v/>
      </c>
      <c r="AZ20" s="38" t="str">
        <f t="shared" si="2"/>
        <v>0</v>
      </c>
      <c r="BA20" s="38" t="str">
        <f t="shared" si="3"/>
        <v>0</v>
      </c>
      <c r="BB20" s="38" t="str">
        <f t="shared" si="4"/>
        <v>0</v>
      </c>
      <c r="BC20" s="38">
        <f t="shared" si="5"/>
        <v>0</v>
      </c>
      <c r="BD20" s="38">
        <f t="shared" si="6"/>
        <v>0</v>
      </c>
      <c r="BL20" s="38" t="str">
        <f t="shared" si="7"/>
        <v/>
      </c>
      <c r="BM20" s="38" t="str">
        <f t="shared" si="8"/>
        <v/>
      </c>
      <c r="BN20" s="38" t="str">
        <f t="shared" si="9"/>
        <v/>
      </c>
      <c r="BO20" s="38" t="str">
        <f t="shared" si="10"/>
        <v/>
      </c>
      <c r="BP20" s="38" t="str">
        <f t="shared" si="11"/>
        <v/>
      </c>
      <c r="BQ20" s="38" t="str">
        <f t="shared" si="12"/>
        <v/>
      </c>
    </row>
    <row r="21" spans="1:69" ht="15.6" x14ac:dyDescent="0.3">
      <c r="A21" s="124"/>
      <c r="B21" s="397">
        <f>IF(ISBLANK(HLOOKUP($F$10,spelerslijsten!$B$1:$J$22,18,FALSE)),"",HLOOKUP($F$10,spelerslijsten!$B$1:$J$22,18,FALSE))</f>
        <v>10</v>
      </c>
      <c r="C21" s="398"/>
      <c r="D21" s="121"/>
      <c r="E21" s="122" t="str">
        <f>IF(ISBLANK(HLOOKUP($F$10,spelerslijsten!$B$1:$J$22,17,FALSE)),"",HLOOKUP($F$10,spelerslijsten!$B$1:$J$22,17,FALSE))</f>
        <v>Peter Schwering</v>
      </c>
      <c r="F21" s="12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08">
        <f>SUMIF($AY$13:$AY$46,AT21,$BC$13:$BC$46)</f>
        <v>0</v>
      </c>
      <c r="W21" s="109" t="str">
        <f t="shared" si="13"/>
        <v/>
      </c>
      <c r="X21" s="110" t="str">
        <f t="shared" si="14"/>
        <v/>
      </c>
      <c r="Y21" s="103" t="str">
        <f t="shared" si="15"/>
        <v/>
      </c>
      <c r="Z21" s="111"/>
      <c r="AA21" s="112"/>
      <c r="AB21" s="113" t="str">
        <f t="shared" si="16"/>
        <v>-</v>
      </c>
      <c r="AC21" s="112"/>
      <c r="AD21" s="114"/>
      <c r="AE21" s="115"/>
      <c r="AF21" s="115"/>
      <c r="AG21" s="116"/>
      <c r="AH21" s="117"/>
      <c r="AI21" s="117"/>
      <c r="AJ21" s="342"/>
      <c r="AK21" s="343"/>
      <c r="AL21" s="346"/>
      <c r="AM21" s="347"/>
      <c r="AN21" s="118"/>
      <c r="AO21" s="101" t="str">
        <f t="shared" si="19"/>
        <v/>
      </c>
      <c r="AP21" s="113" t="str">
        <f t="shared" si="20"/>
        <v>-</v>
      </c>
      <c r="AQ21" s="119"/>
      <c r="AR21" s="103" t="str">
        <f t="shared" si="21"/>
        <v/>
      </c>
      <c r="AT21" s="38" t="str">
        <f t="shared" si="17"/>
        <v>W10</v>
      </c>
      <c r="AU21" s="38">
        <f t="shared" si="18"/>
        <v>0</v>
      </c>
      <c r="AY21" s="38" t="str">
        <f t="shared" si="1"/>
        <v/>
      </c>
      <c r="AZ21" s="38" t="str">
        <f t="shared" si="2"/>
        <v>0</v>
      </c>
      <c r="BA21" s="38" t="str">
        <f t="shared" si="3"/>
        <v>0</v>
      </c>
      <c r="BB21" s="38" t="str">
        <f t="shared" si="4"/>
        <v>0</v>
      </c>
      <c r="BC21" s="38">
        <f t="shared" si="5"/>
        <v>0</v>
      </c>
      <c r="BD21" s="38">
        <f t="shared" si="6"/>
        <v>0</v>
      </c>
      <c r="BL21" s="38" t="str">
        <f t="shared" si="7"/>
        <v/>
      </c>
      <c r="BM21" s="38" t="str">
        <f t="shared" si="8"/>
        <v/>
      </c>
      <c r="BN21" s="38" t="str">
        <f t="shared" si="9"/>
        <v/>
      </c>
      <c r="BO21" s="38" t="str">
        <f t="shared" si="10"/>
        <v/>
      </c>
      <c r="BP21" s="38" t="str">
        <f t="shared" si="11"/>
        <v/>
      </c>
      <c r="BQ21" s="38" t="str">
        <f t="shared" si="12"/>
        <v/>
      </c>
    </row>
    <row r="22" spans="1:69" ht="15.6" x14ac:dyDescent="0.3">
      <c r="A22" s="124"/>
      <c r="B22" s="397">
        <f>IF(ISBLANK(HLOOKUP($F$10,spelerslijsten!$B$1:$J$22,20,FALSE)),"",HLOOKUP($F$10,spelerslijsten!$B$1:$J$22,20,FALSE))</f>
        <v>11</v>
      </c>
      <c r="C22" s="398"/>
      <c r="D22" s="121"/>
      <c r="E22" s="122" t="str">
        <f>IF(ISBLANK(HLOOKUP($F$10,spelerslijsten!$B$1:$J$22,19,FALSE)),"",HLOOKUP($F$10,spelerslijsten!$B$1:$J$22,19,FALSE))</f>
        <v>Stefan Hermens</v>
      </c>
      <c r="F22" s="12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08">
        <f t="shared" ref="V22:V23" si="22">SUMIF($AY$13:$AY$46,AT22,$BC$13:$BC$46)</f>
        <v>0</v>
      </c>
      <c r="W22" s="109" t="str">
        <f t="shared" si="13"/>
        <v/>
      </c>
      <c r="X22" s="110" t="str">
        <f t="shared" si="14"/>
        <v/>
      </c>
      <c r="Y22" s="103" t="str">
        <f t="shared" si="15"/>
        <v/>
      </c>
      <c r="Z22" s="111"/>
      <c r="AA22" s="112"/>
      <c r="AB22" s="113" t="str">
        <f t="shared" si="16"/>
        <v>-</v>
      </c>
      <c r="AC22" s="112"/>
      <c r="AD22" s="114"/>
      <c r="AE22" s="115"/>
      <c r="AF22" s="115"/>
      <c r="AG22" s="116"/>
      <c r="AH22" s="117"/>
      <c r="AI22" s="117"/>
      <c r="AJ22" s="342"/>
      <c r="AK22" s="343"/>
      <c r="AL22" s="346"/>
      <c r="AM22" s="347"/>
      <c r="AN22" s="118"/>
      <c r="AO22" s="101" t="str">
        <f t="shared" si="19"/>
        <v/>
      </c>
      <c r="AP22" s="113" t="str">
        <f t="shared" si="20"/>
        <v>-</v>
      </c>
      <c r="AQ22" s="119"/>
      <c r="AR22" s="103" t="str">
        <f t="shared" si="21"/>
        <v/>
      </c>
      <c r="AT22" s="38" t="str">
        <f t="shared" si="17"/>
        <v>W11</v>
      </c>
      <c r="AU22" s="38">
        <f t="shared" si="18"/>
        <v>0</v>
      </c>
      <c r="AY22" s="38" t="str">
        <f t="shared" si="1"/>
        <v/>
      </c>
      <c r="AZ22" s="38" t="str">
        <f t="shared" si="2"/>
        <v>0</v>
      </c>
      <c r="BA22" s="38" t="str">
        <f t="shared" si="3"/>
        <v>0</v>
      </c>
      <c r="BB22" s="38" t="str">
        <f t="shared" si="4"/>
        <v>0</v>
      </c>
      <c r="BC22" s="38">
        <f t="shared" si="5"/>
        <v>0</v>
      </c>
      <c r="BD22" s="38">
        <f t="shared" si="6"/>
        <v>0</v>
      </c>
      <c r="BL22" s="38" t="str">
        <f t="shared" si="7"/>
        <v/>
      </c>
      <c r="BM22" s="38" t="str">
        <f t="shared" si="8"/>
        <v/>
      </c>
      <c r="BN22" s="38" t="str">
        <f t="shared" si="9"/>
        <v/>
      </c>
      <c r="BO22" s="38" t="str">
        <f t="shared" si="10"/>
        <v/>
      </c>
      <c r="BP22" s="38" t="str">
        <f t="shared" si="11"/>
        <v/>
      </c>
      <c r="BQ22" s="38" t="str">
        <f t="shared" si="12"/>
        <v/>
      </c>
    </row>
    <row r="23" spans="1:69" ht="15.6" x14ac:dyDescent="0.3">
      <c r="A23" s="125"/>
      <c r="B23" s="397" t="str">
        <f>IF(ISBLANK(HLOOKUP($F$10,spelerslijsten!$B$1:$J$22,22,FALSE)),"",HLOOKUP($F$10,spelerslijsten!$B$1:$J$22,22,FALSE))</f>
        <v/>
      </c>
      <c r="C23" s="398"/>
      <c r="D23" s="126"/>
      <c r="E23" s="259" t="str">
        <f>IF(ISBLANK(HLOOKUP($F$10,spelerslijsten!$B$1:$J$22,21,FALSE)),"",HLOOKUP($F$10,spelerslijsten!$B$1:$J$22,21,FALSE))</f>
        <v/>
      </c>
      <c r="F23" s="126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08">
        <f t="shared" si="22"/>
        <v>0</v>
      </c>
      <c r="W23" s="109" t="str">
        <f t="shared" si="13"/>
        <v/>
      </c>
      <c r="X23" s="110" t="str">
        <f t="shared" si="14"/>
        <v/>
      </c>
      <c r="Y23" s="103" t="str">
        <f t="shared" si="15"/>
        <v/>
      </c>
      <c r="Z23" s="111"/>
      <c r="AA23" s="112"/>
      <c r="AB23" s="113" t="str">
        <f t="shared" si="16"/>
        <v>-</v>
      </c>
      <c r="AC23" s="112"/>
      <c r="AD23" s="114"/>
      <c r="AE23" s="115"/>
      <c r="AF23" s="115"/>
      <c r="AG23" s="116"/>
      <c r="AH23" s="117"/>
      <c r="AI23" s="117"/>
      <c r="AJ23" s="342"/>
      <c r="AK23" s="343"/>
      <c r="AL23" s="346"/>
      <c r="AM23" s="347"/>
      <c r="AN23" s="118"/>
      <c r="AO23" s="101" t="str">
        <f t="shared" si="19"/>
        <v/>
      </c>
      <c r="AP23" s="113" t="str">
        <f t="shared" si="20"/>
        <v>-</v>
      </c>
      <c r="AQ23" s="119"/>
      <c r="AR23" s="103" t="str">
        <f t="shared" si="21"/>
        <v/>
      </c>
      <c r="AT23" s="38" t="str">
        <f t="shared" si="17"/>
        <v>W</v>
      </c>
      <c r="AU23" s="38">
        <f t="shared" si="18"/>
        <v>0</v>
      </c>
      <c r="AY23" s="38" t="str">
        <f t="shared" si="1"/>
        <v/>
      </c>
      <c r="AZ23" s="38" t="str">
        <f t="shared" si="2"/>
        <v>0</v>
      </c>
      <c r="BA23" s="38" t="str">
        <f t="shared" si="3"/>
        <v>0</v>
      </c>
      <c r="BB23" s="38" t="str">
        <f t="shared" si="4"/>
        <v>0</v>
      </c>
      <c r="BC23" s="38">
        <f t="shared" si="5"/>
        <v>0</v>
      </c>
      <c r="BD23" s="38">
        <f t="shared" si="6"/>
        <v>0</v>
      </c>
      <c r="BL23" s="38" t="str">
        <f t="shared" si="7"/>
        <v/>
      </c>
      <c r="BM23" s="38" t="str">
        <f t="shared" si="8"/>
        <v/>
      </c>
      <c r="BN23" s="38" t="str">
        <f t="shared" si="9"/>
        <v/>
      </c>
      <c r="BO23" s="38" t="str">
        <f t="shared" si="10"/>
        <v/>
      </c>
      <c r="BP23" s="38" t="str">
        <f t="shared" si="11"/>
        <v/>
      </c>
      <c r="BQ23" s="38" t="str">
        <f t="shared" si="12"/>
        <v/>
      </c>
    </row>
    <row r="24" spans="1:69" ht="16.2" thickBot="1" x14ac:dyDescent="0.35">
      <c r="A24" s="71" t="s">
        <v>67</v>
      </c>
      <c r="B24" s="72"/>
      <c r="C24" s="72"/>
      <c r="D24" s="72"/>
      <c r="E24" s="72"/>
      <c r="F24" s="72"/>
      <c r="G24" s="72"/>
      <c r="I24" s="399">
        <f>HLOOKUP(F10,spelerslijsten!B1:J25,25,FALSE)</f>
        <v>5</v>
      </c>
      <c r="J24" s="400"/>
      <c r="K24" s="74" t="s">
        <v>23</v>
      </c>
      <c r="L24" s="72"/>
      <c r="M24" s="72"/>
      <c r="N24" s="129" t="str">
        <f>HLOOKUP(F10,spelerslijsten!B1:J25,23,FALSE)</f>
        <v>Luuk Muskens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30"/>
      <c r="Z24" s="131"/>
      <c r="AA24" s="132"/>
      <c r="AB24" s="133" t="str">
        <f t="shared" si="16"/>
        <v>-</v>
      </c>
      <c r="AC24" s="132"/>
      <c r="AD24" s="134"/>
      <c r="AE24" s="135"/>
      <c r="AF24" s="135"/>
      <c r="AG24" s="136"/>
      <c r="AH24" s="137"/>
      <c r="AI24" s="137"/>
      <c r="AJ24" s="342"/>
      <c r="AK24" s="343"/>
      <c r="AL24" s="350"/>
      <c r="AM24" s="351"/>
      <c r="AN24" s="138"/>
      <c r="AO24" s="101" t="str">
        <f t="shared" si="19"/>
        <v/>
      </c>
      <c r="AP24" s="113" t="str">
        <f t="shared" si="20"/>
        <v>-</v>
      </c>
      <c r="AQ24" s="119"/>
      <c r="AR24" s="103" t="str">
        <f t="shared" si="21"/>
        <v/>
      </c>
      <c r="AY24" s="38" t="str">
        <f t="shared" si="1"/>
        <v/>
      </c>
      <c r="AZ24" s="38" t="str">
        <f t="shared" si="2"/>
        <v>0</v>
      </c>
      <c r="BA24" s="38" t="str">
        <f t="shared" si="3"/>
        <v>0</v>
      </c>
      <c r="BB24" s="38" t="str">
        <f t="shared" si="4"/>
        <v>0</v>
      </c>
      <c r="BC24" s="38">
        <f t="shared" si="5"/>
        <v>0</v>
      </c>
      <c r="BD24" s="38">
        <f t="shared" si="6"/>
        <v>0</v>
      </c>
      <c r="BL24" s="38" t="str">
        <f t="shared" si="7"/>
        <v/>
      </c>
      <c r="BM24" s="38" t="str">
        <f t="shared" si="8"/>
        <v/>
      </c>
      <c r="BN24" s="38" t="str">
        <f t="shared" si="9"/>
        <v/>
      </c>
      <c r="BO24" s="38" t="str">
        <f t="shared" si="10"/>
        <v/>
      </c>
      <c r="BP24" s="38" t="str">
        <f t="shared" si="11"/>
        <v/>
      </c>
      <c r="BQ24" s="38" t="str">
        <f t="shared" si="12"/>
        <v/>
      </c>
    </row>
    <row r="25" spans="1:69" ht="15" customHeight="1" x14ac:dyDescent="0.3">
      <c r="A25" s="78" t="s">
        <v>60</v>
      </c>
      <c r="B25" s="79"/>
      <c r="C25" s="79"/>
      <c r="D25" s="79"/>
      <c r="E25" s="79"/>
      <c r="F25" s="356" t="str">
        <f>+AC7</f>
        <v>Gesposs Geel</v>
      </c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7"/>
      <c r="Z25" s="139"/>
      <c r="AA25" s="140"/>
      <c r="AB25" s="141" t="str">
        <f t="shared" si="16"/>
        <v>-</v>
      </c>
      <c r="AC25" s="140"/>
      <c r="AD25" s="142"/>
      <c r="AE25" s="143"/>
      <c r="AF25" s="143"/>
      <c r="AG25" s="144"/>
      <c r="AH25" s="145"/>
      <c r="AI25" s="145"/>
      <c r="AJ25" s="342"/>
      <c r="AK25" s="343"/>
      <c r="AL25" s="346"/>
      <c r="AM25" s="347"/>
      <c r="AN25" s="146"/>
      <c r="AO25" s="101" t="str">
        <f t="shared" si="19"/>
        <v/>
      </c>
      <c r="AP25" s="113" t="str">
        <f t="shared" si="20"/>
        <v>-</v>
      </c>
      <c r="AQ25" s="119"/>
      <c r="AR25" s="103" t="str">
        <f t="shared" si="21"/>
        <v/>
      </c>
      <c r="AY25" s="38" t="str">
        <f t="shared" si="1"/>
        <v/>
      </c>
      <c r="AZ25" s="38" t="str">
        <f t="shared" si="2"/>
        <v>0</v>
      </c>
      <c r="BA25" s="38" t="str">
        <f t="shared" si="3"/>
        <v>0</v>
      </c>
      <c r="BB25" s="38" t="str">
        <f t="shared" si="4"/>
        <v>0</v>
      </c>
      <c r="BC25" s="38">
        <f t="shared" si="5"/>
        <v>0</v>
      </c>
      <c r="BD25" s="38">
        <f t="shared" si="6"/>
        <v>0</v>
      </c>
      <c r="BL25" s="38" t="str">
        <f t="shared" si="7"/>
        <v/>
      </c>
      <c r="BM25" s="38" t="str">
        <f t="shared" si="8"/>
        <v/>
      </c>
      <c r="BN25" s="38" t="str">
        <f t="shared" si="9"/>
        <v/>
      </c>
      <c r="BO25" s="38" t="str">
        <f t="shared" si="10"/>
        <v/>
      </c>
      <c r="BP25" s="38" t="str">
        <f t="shared" si="11"/>
        <v/>
      </c>
      <c r="BQ25" s="38" t="str">
        <f t="shared" si="12"/>
        <v/>
      </c>
    </row>
    <row r="26" spans="1:69" ht="15" customHeight="1" x14ac:dyDescent="0.3">
      <c r="A26" s="393" t="s">
        <v>24</v>
      </c>
      <c r="B26" s="394"/>
      <c r="C26" s="394"/>
      <c r="D26" s="394"/>
      <c r="E26" s="81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9"/>
      <c r="Z26" s="139"/>
      <c r="AA26" s="140"/>
      <c r="AB26" s="141" t="s">
        <v>16</v>
      </c>
      <c r="AC26" s="140"/>
      <c r="AD26" s="142"/>
      <c r="AE26" s="143"/>
      <c r="AF26" s="143"/>
      <c r="AG26" s="144"/>
      <c r="AH26" s="145"/>
      <c r="AI26" s="145"/>
      <c r="AJ26" s="342"/>
      <c r="AK26" s="343"/>
      <c r="AL26" s="346"/>
      <c r="AM26" s="347"/>
      <c r="AN26" s="146"/>
      <c r="AO26" s="101" t="str">
        <f t="shared" si="19"/>
        <v/>
      </c>
      <c r="AP26" s="113" t="str">
        <f t="shared" si="20"/>
        <v>-</v>
      </c>
      <c r="AQ26" s="119"/>
      <c r="AR26" s="103" t="str">
        <f t="shared" si="21"/>
        <v/>
      </c>
      <c r="AY26" s="38" t="str">
        <f t="shared" si="1"/>
        <v/>
      </c>
      <c r="AZ26" s="38" t="str">
        <f t="shared" si="2"/>
        <v>0</v>
      </c>
      <c r="BA26" s="38" t="str">
        <f t="shared" si="3"/>
        <v>0</v>
      </c>
      <c r="BB26" s="38" t="str">
        <f t="shared" si="4"/>
        <v>0</v>
      </c>
      <c r="BC26" s="38">
        <f t="shared" si="5"/>
        <v>0</v>
      </c>
      <c r="BD26" s="38">
        <f t="shared" si="6"/>
        <v>0</v>
      </c>
      <c r="BL26" s="38" t="str">
        <f t="shared" si="7"/>
        <v/>
      </c>
      <c r="BM26" s="38" t="str">
        <f t="shared" si="8"/>
        <v/>
      </c>
      <c r="BN26" s="38" t="str">
        <f t="shared" si="9"/>
        <v/>
      </c>
      <c r="BO26" s="38" t="str">
        <f t="shared" si="10"/>
        <v/>
      </c>
      <c r="BP26" s="38" t="str">
        <f t="shared" si="11"/>
        <v/>
      </c>
      <c r="BQ26" s="38" t="str">
        <f t="shared" si="12"/>
        <v/>
      </c>
    </row>
    <row r="27" spans="1:69" ht="15.6" x14ac:dyDescent="0.3">
      <c r="A27" s="393"/>
      <c r="B27" s="394"/>
      <c r="C27" s="394"/>
      <c r="D27" s="394"/>
      <c r="E27" s="81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9"/>
      <c r="Z27" s="139"/>
      <c r="AA27" s="140"/>
      <c r="AB27" s="141" t="s">
        <v>16</v>
      </c>
      <c r="AC27" s="140"/>
      <c r="AD27" s="142"/>
      <c r="AE27" s="143"/>
      <c r="AF27" s="143"/>
      <c r="AG27" s="144"/>
      <c r="AH27" s="145"/>
      <c r="AI27" s="145"/>
      <c r="AJ27" s="342"/>
      <c r="AK27" s="343"/>
      <c r="AL27" s="346"/>
      <c r="AM27" s="347"/>
      <c r="AN27" s="146"/>
      <c r="AO27" s="101" t="str">
        <f t="shared" si="19"/>
        <v/>
      </c>
      <c r="AP27" s="113" t="str">
        <f t="shared" si="20"/>
        <v>-</v>
      </c>
      <c r="AQ27" s="119"/>
      <c r="AR27" s="103" t="str">
        <f t="shared" si="21"/>
        <v/>
      </c>
      <c r="AY27" s="38" t="str">
        <f t="shared" si="1"/>
        <v/>
      </c>
      <c r="AZ27" s="38" t="str">
        <f t="shared" si="2"/>
        <v>0</v>
      </c>
      <c r="BA27" s="38" t="str">
        <f t="shared" si="3"/>
        <v>0</v>
      </c>
      <c r="BB27" s="38" t="str">
        <f t="shared" si="4"/>
        <v>0</v>
      </c>
      <c r="BC27" s="38">
        <f t="shared" si="5"/>
        <v>0</v>
      </c>
      <c r="BD27" s="38">
        <f t="shared" si="6"/>
        <v>0</v>
      </c>
      <c r="BL27" s="38" t="str">
        <f t="shared" si="7"/>
        <v/>
      </c>
      <c r="BM27" s="38" t="str">
        <f t="shared" si="8"/>
        <v/>
      </c>
      <c r="BN27" s="38" t="str">
        <f t="shared" si="9"/>
        <v/>
      </c>
      <c r="BO27" s="38" t="str">
        <f t="shared" si="10"/>
        <v/>
      </c>
      <c r="BP27" s="38" t="str">
        <f t="shared" si="11"/>
        <v/>
      </c>
      <c r="BQ27" s="38" t="str">
        <f t="shared" si="12"/>
        <v/>
      </c>
    </row>
    <row r="28" spans="1:69" ht="15.6" x14ac:dyDescent="0.3">
      <c r="A28" s="395"/>
      <c r="B28" s="396"/>
      <c r="C28" s="396"/>
      <c r="D28" s="396"/>
      <c r="E28" s="81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1"/>
      <c r="Z28" s="147"/>
      <c r="AA28" s="140"/>
      <c r="AB28" s="148" t="str">
        <f>+AB25</f>
        <v>-</v>
      </c>
      <c r="AC28" s="140"/>
      <c r="AD28" s="142"/>
      <c r="AE28" s="143"/>
      <c r="AF28" s="143"/>
      <c r="AG28" s="144"/>
      <c r="AH28" s="145"/>
      <c r="AI28" s="145"/>
      <c r="AJ28" s="342"/>
      <c r="AK28" s="343"/>
      <c r="AL28" s="346"/>
      <c r="AM28" s="347"/>
      <c r="AN28" s="146"/>
      <c r="AO28" s="101" t="str">
        <f t="shared" si="19"/>
        <v/>
      </c>
      <c r="AP28" s="113" t="str">
        <f t="shared" si="20"/>
        <v>-</v>
      </c>
      <c r="AQ28" s="119"/>
      <c r="AR28" s="103" t="str">
        <f t="shared" si="21"/>
        <v/>
      </c>
      <c r="AY28" s="38" t="str">
        <f t="shared" si="1"/>
        <v/>
      </c>
      <c r="AZ28" s="38" t="str">
        <f t="shared" si="2"/>
        <v>0</v>
      </c>
      <c r="BA28" s="38" t="str">
        <f t="shared" si="3"/>
        <v>0</v>
      </c>
      <c r="BB28" s="38" t="str">
        <f t="shared" si="4"/>
        <v>0</v>
      </c>
      <c r="BC28" s="38">
        <f t="shared" si="5"/>
        <v>0</v>
      </c>
      <c r="BD28" s="38">
        <f t="shared" si="6"/>
        <v>0</v>
      </c>
      <c r="BL28" s="38" t="str">
        <f t="shared" si="7"/>
        <v/>
      </c>
      <c r="BM28" s="38" t="str">
        <f t="shared" si="8"/>
        <v/>
      </c>
      <c r="BN28" s="38" t="str">
        <f t="shared" si="9"/>
        <v/>
      </c>
      <c r="BO28" s="38" t="str">
        <f t="shared" si="10"/>
        <v/>
      </c>
      <c r="BP28" s="38" t="str">
        <f t="shared" si="11"/>
        <v/>
      </c>
      <c r="BQ28" s="38" t="str">
        <f t="shared" si="12"/>
        <v/>
      </c>
    </row>
    <row r="29" spans="1:69" ht="15.6" x14ac:dyDescent="0.3">
      <c r="A29" s="86" t="s">
        <v>0</v>
      </c>
      <c r="B29" s="87" t="s">
        <v>1</v>
      </c>
      <c r="C29" s="64"/>
      <c r="D29" s="89"/>
      <c r="E29" s="88" t="s">
        <v>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90"/>
      <c r="V29" s="91" t="s">
        <v>3</v>
      </c>
      <c r="W29" s="91" t="s">
        <v>4</v>
      </c>
      <c r="X29" s="91" t="s">
        <v>5</v>
      </c>
      <c r="Y29" s="92" t="s">
        <v>6</v>
      </c>
      <c r="Z29" s="111"/>
      <c r="AA29" s="149"/>
      <c r="AB29" s="150" t="str">
        <f t="shared" si="16"/>
        <v>-</v>
      </c>
      <c r="AC29" s="149"/>
      <c r="AD29" s="151"/>
      <c r="AE29" s="152"/>
      <c r="AF29" s="152"/>
      <c r="AG29" s="153"/>
      <c r="AH29" s="154"/>
      <c r="AI29" s="154"/>
      <c r="AJ29" s="342"/>
      <c r="AK29" s="343"/>
      <c r="AL29" s="348"/>
      <c r="AM29" s="349"/>
      <c r="AN29" s="155"/>
      <c r="AO29" s="101" t="str">
        <f t="shared" si="19"/>
        <v/>
      </c>
      <c r="AP29" s="113" t="str">
        <f t="shared" si="20"/>
        <v>-</v>
      </c>
      <c r="AQ29" s="119"/>
      <c r="AR29" s="103" t="str">
        <f t="shared" si="21"/>
        <v/>
      </c>
      <c r="AY29" s="38" t="str">
        <f t="shared" si="1"/>
        <v/>
      </c>
      <c r="AZ29" s="38" t="str">
        <f t="shared" si="2"/>
        <v>0</v>
      </c>
      <c r="BA29" s="38" t="str">
        <f t="shared" si="3"/>
        <v>0</v>
      </c>
      <c r="BB29" s="38" t="str">
        <f t="shared" si="4"/>
        <v>0</v>
      </c>
      <c r="BC29" s="38">
        <f t="shared" si="5"/>
        <v>0</v>
      </c>
      <c r="BD29" s="38">
        <f t="shared" si="6"/>
        <v>0</v>
      </c>
      <c r="BL29" s="38" t="str">
        <f t="shared" si="7"/>
        <v/>
      </c>
      <c r="BM29" s="38" t="str">
        <f t="shared" si="8"/>
        <v/>
      </c>
      <c r="BN29" s="38" t="str">
        <f t="shared" si="9"/>
        <v/>
      </c>
      <c r="BO29" s="38" t="str">
        <f t="shared" si="10"/>
        <v/>
      </c>
      <c r="BP29" s="38" t="str">
        <f t="shared" si="11"/>
        <v/>
      </c>
      <c r="BQ29" s="38" t="str">
        <f t="shared" si="12"/>
        <v/>
      </c>
    </row>
    <row r="30" spans="1:69" ht="15.6" x14ac:dyDescent="0.3">
      <c r="A30" s="104" t="s">
        <v>265</v>
      </c>
      <c r="B30" s="397">
        <f>IF(ISBLANK(HLOOKUP($F$25,spelerslijsten!$B$1:$J$22,4,FALSE)),"",HLOOKUP($F$25,spelerslijsten!$B$1:$J$22,4,FALSE))</f>
        <v>2</v>
      </c>
      <c r="C30" s="398"/>
      <c r="D30" s="105"/>
      <c r="E30" s="106" t="str">
        <f>IF(ISBLANK(HLOOKUP($F$25,spelerslijsten!$B$1:$J$22,3,FALSE)),"",HLOOKUP($F$25,spelerslijsten!$B$1:$J$22,3,FALSE))</f>
        <v>Jasper van Houtum</v>
      </c>
      <c r="F30" s="105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8">
        <f t="shared" ref="V30:V39" si="23">SUMIF($AY$13:$AY$46,AT30,$BC$13:$BC$46)</f>
        <v>1</v>
      </c>
      <c r="W30" s="109" t="str">
        <f>IF(AU30&gt;0,"x","")</f>
        <v/>
      </c>
      <c r="X30" s="110" t="str">
        <f>IF(AU30&gt;1,"x","")</f>
        <v/>
      </c>
      <c r="Y30" s="103" t="str">
        <f>IF(AU30&gt;2,"x","")</f>
        <v/>
      </c>
      <c r="Z30" s="111"/>
      <c r="AA30" s="112"/>
      <c r="AB30" s="113" t="str">
        <f t="shared" si="16"/>
        <v>-</v>
      </c>
      <c r="AC30" s="112"/>
      <c r="AD30" s="114"/>
      <c r="AE30" s="115"/>
      <c r="AF30" s="115"/>
      <c r="AG30" s="116"/>
      <c r="AH30" s="117"/>
      <c r="AI30" s="117"/>
      <c r="AJ30" s="342"/>
      <c r="AK30" s="343"/>
      <c r="AL30" s="346"/>
      <c r="AM30" s="347"/>
      <c r="AN30" s="118"/>
      <c r="AO30" s="101" t="str">
        <f t="shared" si="19"/>
        <v/>
      </c>
      <c r="AP30" s="113" t="str">
        <f t="shared" si="20"/>
        <v>-</v>
      </c>
      <c r="AQ30" s="119"/>
      <c r="AR30" s="103" t="str">
        <f t="shared" si="21"/>
        <v/>
      </c>
      <c r="AT30" s="38" t="str">
        <f>CONCATENATE($AV$11&amp;B30)</f>
        <v>B2</v>
      </c>
      <c r="AU30" s="38">
        <f t="shared" si="18"/>
        <v>0</v>
      </c>
      <c r="AY30" s="38" t="str">
        <f t="shared" si="1"/>
        <v/>
      </c>
      <c r="AZ30" s="38" t="str">
        <f t="shared" si="2"/>
        <v>0</v>
      </c>
      <c r="BA30" s="38" t="str">
        <f t="shared" si="3"/>
        <v>0</v>
      </c>
      <c r="BB30" s="38" t="str">
        <f t="shared" si="4"/>
        <v>0</v>
      </c>
      <c r="BC30" s="38">
        <f t="shared" si="5"/>
        <v>0</v>
      </c>
      <c r="BD30" s="38">
        <f t="shared" si="6"/>
        <v>0</v>
      </c>
      <c r="BL30" s="38" t="str">
        <f t="shared" si="7"/>
        <v/>
      </c>
      <c r="BM30" s="38" t="str">
        <f t="shared" si="8"/>
        <v/>
      </c>
      <c r="BN30" s="38" t="str">
        <f t="shared" si="9"/>
        <v/>
      </c>
      <c r="BO30" s="38" t="str">
        <f t="shared" si="10"/>
        <v/>
      </c>
      <c r="BP30" s="38" t="str">
        <f t="shared" si="11"/>
        <v/>
      </c>
      <c r="BQ30" s="38" t="str">
        <f t="shared" si="12"/>
        <v/>
      </c>
    </row>
    <row r="31" spans="1:69" ht="15.6" x14ac:dyDescent="0.3">
      <c r="A31" s="120" t="s">
        <v>265</v>
      </c>
      <c r="B31" s="397">
        <f>IF(ISBLANK(HLOOKUP($F$25,spelerslijsten!$B$1:$J$22,6,FALSE)),"",HLOOKUP($F$25,spelerslijsten!$B$1:$J$22,6,FALSE))</f>
        <v>3</v>
      </c>
      <c r="C31" s="398"/>
      <c r="D31" s="121"/>
      <c r="E31" s="122" t="str">
        <f>IF(ISBLANK(HLOOKUP($F$25,spelerslijsten!$B$1:$J$22,5,FALSE)),"",HLOOKUP($F$25,spelerslijsten!$B$1:$J$22,5,FALSE))</f>
        <v>Arjan Dulos</v>
      </c>
      <c r="F31" s="12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08">
        <f t="shared" si="23"/>
        <v>0</v>
      </c>
      <c r="W31" s="109" t="str">
        <f t="shared" ref="W31:W39" si="24">IF(AU31&gt;0,"x","")</f>
        <v/>
      </c>
      <c r="X31" s="110" t="str">
        <f t="shared" ref="X31:X39" si="25">IF(AU31&gt;1,"x","")</f>
        <v/>
      </c>
      <c r="Y31" s="103" t="str">
        <f t="shared" ref="Y31:Y39" si="26">IF(AU31&gt;2,"x","")</f>
        <v/>
      </c>
      <c r="Z31" s="111"/>
      <c r="AA31" s="112"/>
      <c r="AB31" s="113" t="str">
        <f t="shared" si="16"/>
        <v>-</v>
      </c>
      <c r="AC31" s="112"/>
      <c r="AD31" s="114"/>
      <c r="AE31" s="115"/>
      <c r="AF31" s="115"/>
      <c r="AG31" s="116"/>
      <c r="AH31" s="117"/>
      <c r="AI31" s="117"/>
      <c r="AJ31" s="342"/>
      <c r="AK31" s="343"/>
      <c r="AL31" s="346"/>
      <c r="AM31" s="347"/>
      <c r="AN31" s="118"/>
      <c r="AO31" s="101" t="str">
        <f t="shared" si="19"/>
        <v/>
      </c>
      <c r="AP31" s="113" t="str">
        <f t="shared" si="20"/>
        <v>-</v>
      </c>
      <c r="AQ31" s="119"/>
      <c r="AR31" s="103" t="str">
        <f t="shared" si="21"/>
        <v/>
      </c>
      <c r="AT31" s="38" t="str">
        <f t="shared" ref="AT31:AT39" si="27">CONCATENATE($AV$11&amp;B31)</f>
        <v>B3</v>
      </c>
      <c r="AU31" s="38">
        <f t="shared" si="18"/>
        <v>0</v>
      </c>
      <c r="AY31" s="38" t="str">
        <f t="shared" si="1"/>
        <v/>
      </c>
      <c r="AZ31" s="38" t="str">
        <f t="shared" si="2"/>
        <v>0</v>
      </c>
      <c r="BA31" s="38" t="str">
        <f t="shared" si="3"/>
        <v>0</v>
      </c>
      <c r="BB31" s="38" t="str">
        <f t="shared" si="4"/>
        <v>0</v>
      </c>
      <c r="BC31" s="38">
        <f t="shared" si="5"/>
        <v>0</v>
      </c>
      <c r="BD31" s="38">
        <f t="shared" si="6"/>
        <v>0</v>
      </c>
      <c r="BL31" s="38" t="str">
        <f t="shared" si="7"/>
        <v/>
      </c>
      <c r="BM31" s="38" t="str">
        <f t="shared" si="8"/>
        <v/>
      </c>
      <c r="BN31" s="38" t="str">
        <f t="shared" si="9"/>
        <v/>
      </c>
      <c r="BO31" s="38" t="str">
        <f t="shared" si="10"/>
        <v/>
      </c>
      <c r="BP31" s="38" t="str">
        <f t="shared" si="11"/>
        <v/>
      </c>
      <c r="BQ31" s="38" t="str">
        <f t="shared" si="12"/>
        <v/>
      </c>
    </row>
    <row r="32" spans="1:69" ht="15.6" x14ac:dyDescent="0.3">
      <c r="A32" s="124"/>
      <c r="B32" s="397">
        <f>IF(ISBLANK(HLOOKUP($F$25,spelerslijsten!$B$1:$J$22,8,FALSE)),"",HLOOKUP($F$25,spelerslijsten!$B$1:$J$22,8,FALSE))</f>
        <v>4</v>
      </c>
      <c r="C32" s="398"/>
      <c r="D32" s="121"/>
      <c r="E32" s="122" t="str">
        <f>IF(ISBLANK(HLOOKUP($F$25,spelerslijsten!$B$1:$J$22,7,FALSE)),"",HLOOKUP($F$25,spelerslijsten!$B$1:$J$22,7,FALSE))</f>
        <v>Kim Wolf</v>
      </c>
      <c r="F32" s="12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08">
        <f t="shared" si="23"/>
        <v>0</v>
      </c>
      <c r="W32" s="109" t="str">
        <f t="shared" si="24"/>
        <v/>
      </c>
      <c r="X32" s="110" t="str">
        <f t="shared" si="25"/>
        <v/>
      </c>
      <c r="Y32" s="103" t="str">
        <f t="shared" si="26"/>
        <v/>
      </c>
      <c r="Z32" s="111"/>
      <c r="AA32" s="112"/>
      <c r="AB32" s="113" t="str">
        <f t="shared" si="16"/>
        <v>-</v>
      </c>
      <c r="AC32" s="112"/>
      <c r="AD32" s="114"/>
      <c r="AE32" s="115"/>
      <c r="AF32" s="115"/>
      <c r="AG32" s="116"/>
      <c r="AH32" s="117"/>
      <c r="AI32" s="117"/>
      <c r="AJ32" s="342"/>
      <c r="AK32" s="343"/>
      <c r="AL32" s="346"/>
      <c r="AM32" s="347"/>
      <c r="AN32" s="118"/>
      <c r="AO32" s="101" t="str">
        <f t="shared" si="19"/>
        <v/>
      </c>
      <c r="AP32" s="113" t="str">
        <f t="shared" si="20"/>
        <v>-</v>
      </c>
      <c r="AQ32" s="119"/>
      <c r="AR32" s="103" t="str">
        <f t="shared" si="21"/>
        <v/>
      </c>
      <c r="AT32" s="38" t="str">
        <f t="shared" si="27"/>
        <v>B4</v>
      </c>
      <c r="AU32" s="38">
        <f t="shared" si="18"/>
        <v>0</v>
      </c>
      <c r="AY32" s="38" t="str">
        <f t="shared" si="1"/>
        <v/>
      </c>
      <c r="AZ32" s="38" t="str">
        <f t="shared" si="2"/>
        <v>0</v>
      </c>
      <c r="BA32" s="38" t="str">
        <f t="shared" si="3"/>
        <v>0</v>
      </c>
      <c r="BB32" s="38" t="str">
        <f t="shared" si="4"/>
        <v>0</v>
      </c>
      <c r="BC32" s="38">
        <f t="shared" si="5"/>
        <v>0</v>
      </c>
      <c r="BD32" s="38">
        <f t="shared" si="6"/>
        <v>0</v>
      </c>
      <c r="BL32" s="38" t="str">
        <f t="shared" si="7"/>
        <v/>
      </c>
      <c r="BM32" s="38" t="str">
        <f t="shared" si="8"/>
        <v/>
      </c>
      <c r="BN32" s="38" t="str">
        <f t="shared" si="9"/>
        <v/>
      </c>
      <c r="BO32" s="38" t="str">
        <f t="shared" si="10"/>
        <v/>
      </c>
      <c r="BP32" s="38" t="str">
        <f t="shared" si="11"/>
        <v/>
      </c>
      <c r="BQ32" s="38" t="str">
        <f t="shared" si="12"/>
        <v/>
      </c>
    </row>
    <row r="33" spans="1:69" ht="15.6" x14ac:dyDescent="0.3">
      <c r="A33" s="124" t="s">
        <v>265</v>
      </c>
      <c r="B33" s="397">
        <f>IF(ISBLANK(HLOOKUP($F$25,spelerslijsten!$B$1:$J$22,10,FALSE)),"",HLOOKUP($F$25,spelerslijsten!$B$1:$J$22,10,FALSE))</f>
        <v>5</v>
      </c>
      <c r="C33" s="398"/>
      <c r="D33" s="121"/>
      <c r="E33" s="122" t="str">
        <f>IF(ISBLANK(HLOOKUP($F$25,spelerslijsten!$B$1:$J$22,9,FALSE)),"",HLOOKUP($F$25,spelerslijsten!$B$1:$J$22,9,FALSE))</f>
        <v>Kevin van Boekel</v>
      </c>
      <c r="F33" s="12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08">
        <f t="shared" si="23"/>
        <v>0</v>
      </c>
      <c r="W33" s="109" t="str">
        <f t="shared" si="24"/>
        <v/>
      </c>
      <c r="X33" s="110" t="str">
        <f t="shared" si="25"/>
        <v/>
      </c>
      <c r="Y33" s="103" t="str">
        <f t="shared" si="26"/>
        <v/>
      </c>
      <c r="Z33" s="111"/>
      <c r="AA33" s="112"/>
      <c r="AB33" s="113" t="str">
        <f t="shared" si="16"/>
        <v>-</v>
      </c>
      <c r="AC33" s="112"/>
      <c r="AD33" s="114"/>
      <c r="AE33" s="115"/>
      <c r="AF33" s="115"/>
      <c r="AG33" s="116"/>
      <c r="AH33" s="117"/>
      <c r="AI33" s="117"/>
      <c r="AJ33" s="342"/>
      <c r="AK33" s="343"/>
      <c r="AL33" s="346"/>
      <c r="AM33" s="347"/>
      <c r="AN33" s="118"/>
      <c r="AO33" s="101" t="str">
        <f t="shared" si="19"/>
        <v/>
      </c>
      <c r="AP33" s="113" t="str">
        <f t="shared" si="20"/>
        <v>-</v>
      </c>
      <c r="AQ33" s="119"/>
      <c r="AR33" s="103" t="str">
        <f t="shared" si="21"/>
        <v/>
      </c>
      <c r="AT33" s="38" t="str">
        <f t="shared" si="27"/>
        <v>B5</v>
      </c>
      <c r="AU33" s="38">
        <f t="shared" si="18"/>
        <v>0</v>
      </c>
      <c r="AY33" s="38" t="str">
        <f t="shared" si="1"/>
        <v/>
      </c>
      <c r="AZ33" s="38" t="str">
        <f t="shared" si="2"/>
        <v>0</v>
      </c>
      <c r="BA33" s="38" t="str">
        <f t="shared" si="3"/>
        <v>0</v>
      </c>
      <c r="BB33" s="38" t="str">
        <f t="shared" si="4"/>
        <v>0</v>
      </c>
      <c r="BC33" s="38">
        <f t="shared" si="5"/>
        <v>0</v>
      </c>
      <c r="BD33" s="38">
        <f t="shared" si="6"/>
        <v>0</v>
      </c>
      <c r="BL33" s="38" t="str">
        <f t="shared" si="7"/>
        <v/>
      </c>
      <c r="BM33" s="38" t="str">
        <f t="shared" si="8"/>
        <v/>
      </c>
      <c r="BN33" s="38" t="str">
        <f t="shared" si="9"/>
        <v/>
      </c>
      <c r="BO33" s="38" t="str">
        <f t="shared" si="10"/>
        <v/>
      </c>
      <c r="BP33" s="38" t="str">
        <f t="shared" si="11"/>
        <v/>
      </c>
      <c r="BQ33" s="38" t="str">
        <f t="shared" si="12"/>
        <v/>
      </c>
    </row>
    <row r="34" spans="1:69" ht="15.6" x14ac:dyDescent="0.3">
      <c r="A34" s="124" t="s">
        <v>265</v>
      </c>
      <c r="B34" s="397">
        <f>IF(ISBLANK(HLOOKUP($F$25,spelerslijsten!$B$1:$J$22,12,FALSE)),"",HLOOKUP($F$25,spelerslijsten!$B$1:$J$22,12,FALSE))</f>
        <v>6</v>
      </c>
      <c r="C34" s="398"/>
      <c r="D34" s="121"/>
      <c r="E34" s="122" t="str">
        <f>IF(ISBLANK(HLOOKUP($F$25,spelerslijsten!$B$1:$J$22,11,FALSE)),"",HLOOKUP($F$25,spelerslijsten!$B$1:$J$22,11,FALSE))</f>
        <v>Kevin van Kollenburg</v>
      </c>
      <c r="F34" s="12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08">
        <f t="shared" si="23"/>
        <v>0</v>
      </c>
      <c r="W34" s="109" t="str">
        <f t="shared" si="24"/>
        <v/>
      </c>
      <c r="X34" s="110" t="str">
        <f t="shared" si="25"/>
        <v/>
      </c>
      <c r="Y34" s="103" t="str">
        <f t="shared" si="26"/>
        <v/>
      </c>
      <c r="Z34" s="111"/>
      <c r="AA34" s="112"/>
      <c r="AB34" s="113" t="str">
        <f t="shared" si="16"/>
        <v>-</v>
      </c>
      <c r="AC34" s="112"/>
      <c r="AD34" s="114"/>
      <c r="AE34" s="115"/>
      <c r="AF34" s="115"/>
      <c r="AG34" s="116"/>
      <c r="AH34" s="117"/>
      <c r="AI34" s="117"/>
      <c r="AJ34" s="342"/>
      <c r="AK34" s="343"/>
      <c r="AL34" s="346"/>
      <c r="AM34" s="347"/>
      <c r="AN34" s="118"/>
      <c r="AO34" s="101" t="str">
        <f t="shared" si="19"/>
        <v/>
      </c>
      <c r="AP34" s="113" t="str">
        <f t="shared" si="20"/>
        <v>-</v>
      </c>
      <c r="AQ34" s="119"/>
      <c r="AR34" s="103" t="str">
        <f t="shared" si="21"/>
        <v/>
      </c>
      <c r="AT34" s="38" t="str">
        <f t="shared" si="27"/>
        <v>B6</v>
      </c>
      <c r="AU34" s="38">
        <f t="shared" si="18"/>
        <v>0</v>
      </c>
      <c r="AY34" s="38" t="str">
        <f t="shared" si="1"/>
        <v/>
      </c>
      <c r="AZ34" s="38" t="str">
        <f t="shared" si="2"/>
        <v>0</v>
      </c>
      <c r="BA34" s="38" t="str">
        <f t="shared" si="3"/>
        <v>0</v>
      </c>
      <c r="BB34" s="38" t="str">
        <f t="shared" si="4"/>
        <v>0</v>
      </c>
      <c r="BC34" s="38">
        <f t="shared" si="5"/>
        <v>0</v>
      </c>
      <c r="BD34" s="38">
        <f t="shared" si="6"/>
        <v>0</v>
      </c>
      <c r="BL34" s="38" t="str">
        <f t="shared" si="7"/>
        <v/>
      </c>
      <c r="BM34" s="38" t="str">
        <f t="shared" si="8"/>
        <v/>
      </c>
      <c r="BN34" s="38" t="str">
        <f t="shared" si="9"/>
        <v/>
      </c>
      <c r="BO34" s="38" t="str">
        <f t="shared" si="10"/>
        <v/>
      </c>
      <c r="BP34" s="38" t="str">
        <f t="shared" si="11"/>
        <v/>
      </c>
      <c r="BQ34" s="38" t="str">
        <f t="shared" si="12"/>
        <v/>
      </c>
    </row>
    <row r="35" spans="1:69" ht="15.6" x14ac:dyDescent="0.3">
      <c r="A35" s="124" t="s">
        <v>265</v>
      </c>
      <c r="B35" s="397">
        <f>IF(ISBLANK(HLOOKUP($F$25,spelerslijsten!$B$1:$J$22,14,FALSE)),"",HLOOKUP($F$25,spelerslijsten!$B$1:$J$22,14,FALSE))</f>
        <v>7</v>
      </c>
      <c r="C35" s="398"/>
      <c r="D35" s="121"/>
      <c r="E35" s="122" t="str">
        <f>IF(ISBLANK(HLOOKUP($F$25,spelerslijsten!$B$1:$J$22,13,FALSE)),"",HLOOKUP($F$25,spelerslijsten!$B$1:$J$22,13,FALSE))</f>
        <v>Tim van den Akker</v>
      </c>
      <c r="F35" s="12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08">
        <f t="shared" si="23"/>
        <v>0</v>
      </c>
      <c r="W35" s="109" t="str">
        <f t="shared" si="24"/>
        <v/>
      </c>
      <c r="X35" s="110" t="str">
        <f t="shared" si="25"/>
        <v/>
      </c>
      <c r="Y35" s="103" t="str">
        <f t="shared" si="26"/>
        <v/>
      </c>
      <c r="Z35" s="111"/>
      <c r="AA35" s="112"/>
      <c r="AB35" s="113" t="str">
        <f t="shared" si="16"/>
        <v>-</v>
      </c>
      <c r="AC35" s="112"/>
      <c r="AD35" s="114"/>
      <c r="AE35" s="115"/>
      <c r="AF35" s="115"/>
      <c r="AG35" s="116"/>
      <c r="AH35" s="117"/>
      <c r="AI35" s="117"/>
      <c r="AJ35" s="342"/>
      <c r="AK35" s="343"/>
      <c r="AL35" s="346"/>
      <c r="AM35" s="347"/>
      <c r="AN35" s="118"/>
      <c r="AO35" s="101" t="str">
        <f t="shared" si="19"/>
        <v/>
      </c>
      <c r="AP35" s="113" t="str">
        <f t="shared" si="20"/>
        <v>-</v>
      </c>
      <c r="AQ35" s="119"/>
      <c r="AR35" s="103" t="str">
        <f t="shared" si="21"/>
        <v/>
      </c>
      <c r="AT35" s="38" t="str">
        <f t="shared" si="27"/>
        <v>B7</v>
      </c>
      <c r="AU35" s="38">
        <f t="shared" si="18"/>
        <v>0</v>
      </c>
      <c r="AY35" s="38" t="str">
        <f t="shared" si="1"/>
        <v/>
      </c>
      <c r="AZ35" s="38" t="str">
        <f t="shared" si="2"/>
        <v>0</v>
      </c>
      <c r="BA35" s="38" t="str">
        <f t="shared" si="3"/>
        <v>0</v>
      </c>
      <c r="BB35" s="38" t="str">
        <f t="shared" si="4"/>
        <v>0</v>
      </c>
      <c r="BC35" s="38">
        <f t="shared" si="5"/>
        <v>0</v>
      </c>
      <c r="BD35" s="38">
        <f t="shared" si="6"/>
        <v>0</v>
      </c>
      <c r="BL35" s="38" t="str">
        <f t="shared" si="7"/>
        <v/>
      </c>
      <c r="BM35" s="38" t="str">
        <f t="shared" si="8"/>
        <v/>
      </c>
      <c r="BN35" s="38" t="str">
        <f t="shared" si="9"/>
        <v/>
      </c>
      <c r="BO35" s="38" t="str">
        <f t="shared" si="10"/>
        <v/>
      </c>
      <c r="BP35" s="38" t="str">
        <f t="shared" si="11"/>
        <v/>
      </c>
      <c r="BQ35" s="38" t="str">
        <f t="shared" si="12"/>
        <v/>
      </c>
    </row>
    <row r="36" spans="1:69" ht="15.6" x14ac:dyDescent="0.3">
      <c r="A36" s="124"/>
      <c r="B36" s="397">
        <f>IF(ISBLANK(HLOOKUP($F$25,spelerslijsten!$B$1:$J$22,16,FALSE)),"",HLOOKUP($F$25,spelerslijsten!$B$1:$J$22,16,FALSE))</f>
        <v>8</v>
      </c>
      <c r="C36" s="398"/>
      <c r="D36" s="121"/>
      <c r="E36" s="122" t="str">
        <f>IF(ISBLANK(HLOOKUP($F$25,spelerslijsten!$B$1:$J$22,15,FALSE)),"",HLOOKUP($F$25,spelerslijsten!$B$1:$J$22,15,FALSE))</f>
        <v>Marloes Beks-Geurts</v>
      </c>
      <c r="F36" s="12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08">
        <f t="shared" si="23"/>
        <v>0</v>
      </c>
      <c r="W36" s="109" t="str">
        <f t="shared" si="24"/>
        <v/>
      </c>
      <c r="X36" s="110" t="str">
        <f t="shared" si="25"/>
        <v/>
      </c>
      <c r="Y36" s="103" t="str">
        <f t="shared" si="26"/>
        <v/>
      </c>
      <c r="Z36" s="111"/>
      <c r="AA36" s="112"/>
      <c r="AB36" s="113" t="str">
        <f t="shared" si="16"/>
        <v>-</v>
      </c>
      <c r="AC36" s="112"/>
      <c r="AD36" s="114"/>
      <c r="AE36" s="115"/>
      <c r="AF36" s="115"/>
      <c r="AG36" s="116"/>
      <c r="AH36" s="117"/>
      <c r="AI36" s="117"/>
      <c r="AJ36" s="342"/>
      <c r="AK36" s="343"/>
      <c r="AL36" s="346"/>
      <c r="AM36" s="347"/>
      <c r="AN36" s="118"/>
      <c r="AO36" s="101" t="str">
        <f t="shared" si="19"/>
        <v/>
      </c>
      <c r="AP36" s="113" t="str">
        <f t="shared" si="20"/>
        <v>-</v>
      </c>
      <c r="AQ36" s="119"/>
      <c r="AR36" s="103" t="str">
        <f t="shared" si="21"/>
        <v/>
      </c>
      <c r="AT36" s="38" t="str">
        <f t="shared" si="27"/>
        <v>B8</v>
      </c>
      <c r="AU36" s="38">
        <f t="shared" si="18"/>
        <v>0</v>
      </c>
      <c r="AY36" s="38" t="str">
        <f t="shared" si="1"/>
        <v/>
      </c>
      <c r="AZ36" s="38" t="str">
        <f t="shared" si="2"/>
        <v>0</v>
      </c>
      <c r="BA36" s="38" t="str">
        <f t="shared" si="3"/>
        <v>0</v>
      </c>
      <c r="BB36" s="38" t="str">
        <f t="shared" si="4"/>
        <v>0</v>
      </c>
      <c r="BC36" s="38">
        <f t="shared" si="5"/>
        <v>0</v>
      </c>
      <c r="BD36" s="38">
        <f t="shared" si="6"/>
        <v>0</v>
      </c>
      <c r="BL36" s="38" t="str">
        <f t="shared" si="7"/>
        <v/>
      </c>
      <c r="BM36" s="38" t="str">
        <f t="shared" si="8"/>
        <v/>
      </c>
      <c r="BN36" s="38" t="str">
        <f t="shared" si="9"/>
        <v/>
      </c>
      <c r="BO36" s="38" t="str">
        <f t="shared" si="10"/>
        <v/>
      </c>
      <c r="BP36" s="38" t="str">
        <f t="shared" si="11"/>
        <v/>
      </c>
      <c r="BQ36" s="38" t="str">
        <f t="shared" si="12"/>
        <v/>
      </c>
    </row>
    <row r="37" spans="1:69" ht="15.6" x14ac:dyDescent="0.3">
      <c r="A37" s="124"/>
      <c r="B37" s="397">
        <f>IF(ISBLANK(HLOOKUP($F$25,spelerslijsten!$B$1:$J$22,18,FALSE)),"",HLOOKUP($F$25,spelerslijsten!$B$1:$J$22,18,FALSE))</f>
        <v>9</v>
      </c>
      <c r="C37" s="398"/>
      <c r="D37" s="121"/>
      <c r="E37" s="122" t="str">
        <f>IF(ISBLANK(HLOOKUP($F$25,spelerslijsten!$B$1:$J$22,17,FALSE)),"",HLOOKUP($F$25,spelerslijsten!$B$1:$J$22,17,FALSE))</f>
        <v>Lincy Ruijs</v>
      </c>
      <c r="F37" s="12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08">
        <f t="shared" si="23"/>
        <v>0</v>
      </c>
      <c r="W37" s="109" t="str">
        <f t="shared" si="24"/>
        <v/>
      </c>
      <c r="X37" s="110" t="str">
        <f t="shared" si="25"/>
        <v/>
      </c>
      <c r="Y37" s="103" t="str">
        <f t="shared" si="26"/>
        <v/>
      </c>
      <c r="Z37" s="111"/>
      <c r="AA37" s="112"/>
      <c r="AB37" s="113" t="str">
        <f t="shared" si="16"/>
        <v>-</v>
      </c>
      <c r="AC37" s="112"/>
      <c r="AD37" s="114"/>
      <c r="AE37" s="115"/>
      <c r="AF37" s="115"/>
      <c r="AG37" s="116"/>
      <c r="AH37" s="117"/>
      <c r="AI37" s="117"/>
      <c r="AJ37" s="342"/>
      <c r="AK37" s="343"/>
      <c r="AL37" s="346"/>
      <c r="AM37" s="347"/>
      <c r="AN37" s="118"/>
      <c r="AO37" s="101" t="str">
        <f t="shared" si="19"/>
        <v/>
      </c>
      <c r="AP37" s="113" t="str">
        <f t="shared" si="20"/>
        <v>-</v>
      </c>
      <c r="AQ37" s="119"/>
      <c r="AR37" s="103" t="str">
        <f t="shared" si="21"/>
        <v/>
      </c>
      <c r="AT37" s="38" t="str">
        <f t="shared" si="27"/>
        <v>B9</v>
      </c>
      <c r="AU37" s="38">
        <f t="shared" si="18"/>
        <v>0</v>
      </c>
      <c r="AY37" s="38" t="str">
        <f t="shared" si="1"/>
        <v/>
      </c>
      <c r="AZ37" s="38" t="str">
        <f t="shared" si="2"/>
        <v>0</v>
      </c>
      <c r="BA37" s="38" t="str">
        <f t="shared" si="3"/>
        <v>0</v>
      </c>
      <c r="BB37" s="38" t="str">
        <f t="shared" si="4"/>
        <v>0</v>
      </c>
      <c r="BC37" s="38">
        <f t="shared" si="5"/>
        <v>0</v>
      </c>
      <c r="BD37" s="38">
        <f t="shared" si="6"/>
        <v>0</v>
      </c>
      <c r="BL37" s="38" t="str">
        <f t="shared" si="7"/>
        <v/>
      </c>
      <c r="BM37" s="38" t="str">
        <f t="shared" si="8"/>
        <v/>
      </c>
      <c r="BN37" s="38" t="str">
        <f t="shared" si="9"/>
        <v/>
      </c>
      <c r="BO37" s="38" t="str">
        <f t="shared" si="10"/>
        <v/>
      </c>
      <c r="BP37" s="38" t="str">
        <f t="shared" si="11"/>
        <v/>
      </c>
      <c r="BQ37" s="38" t="str">
        <f t="shared" si="12"/>
        <v/>
      </c>
    </row>
    <row r="38" spans="1:69" ht="15.6" x14ac:dyDescent="0.3">
      <c r="A38" s="124" t="s">
        <v>265</v>
      </c>
      <c r="B38" s="397">
        <f>IF(ISBLANK(HLOOKUP($F$25,spelerslijsten!$B$1:$J$22,20,FALSE)),"",HLOOKUP($F$25,spelerslijsten!$B$1:$J$22,20,FALSE))</f>
        <v>10</v>
      </c>
      <c r="C38" s="398"/>
      <c r="D38" s="121"/>
      <c r="E38" s="122" t="str">
        <f>IF(ISBLANK(HLOOKUP($F$25,spelerslijsten!$B$1:$J$22,19,FALSE)),"",HLOOKUP($F$25,spelerslijsten!$B$1:$J$22,19,FALSE))</f>
        <v>Eef de Ruijter</v>
      </c>
      <c r="F38" s="12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08">
        <f t="shared" si="23"/>
        <v>0</v>
      </c>
      <c r="W38" s="109" t="str">
        <f t="shared" si="24"/>
        <v/>
      </c>
      <c r="X38" s="110" t="str">
        <f t="shared" si="25"/>
        <v/>
      </c>
      <c r="Y38" s="103" t="str">
        <f t="shared" si="26"/>
        <v/>
      </c>
      <c r="Z38" s="111"/>
      <c r="AA38" s="112"/>
      <c r="AB38" s="113" t="str">
        <f t="shared" si="16"/>
        <v>-</v>
      </c>
      <c r="AC38" s="112"/>
      <c r="AD38" s="114"/>
      <c r="AE38" s="115"/>
      <c r="AF38" s="115"/>
      <c r="AG38" s="116"/>
      <c r="AH38" s="117"/>
      <c r="AI38" s="117"/>
      <c r="AJ38" s="342"/>
      <c r="AK38" s="343"/>
      <c r="AL38" s="346"/>
      <c r="AM38" s="347"/>
      <c r="AN38" s="118"/>
      <c r="AO38" s="101" t="str">
        <f t="shared" si="19"/>
        <v/>
      </c>
      <c r="AP38" s="113" t="str">
        <f t="shared" si="20"/>
        <v>-</v>
      </c>
      <c r="AQ38" s="119"/>
      <c r="AR38" s="103" t="str">
        <f t="shared" si="21"/>
        <v/>
      </c>
      <c r="AT38" s="38" t="str">
        <f t="shared" si="27"/>
        <v>B10</v>
      </c>
      <c r="AU38" s="38">
        <f t="shared" si="18"/>
        <v>0</v>
      </c>
      <c r="AY38" s="38" t="str">
        <f t="shared" si="1"/>
        <v/>
      </c>
      <c r="AZ38" s="38" t="str">
        <f t="shared" si="2"/>
        <v>0</v>
      </c>
      <c r="BA38" s="38" t="str">
        <f t="shared" si="3"/>
        <v>0</v>
      </c>
      <c r="BB38" s="38" t="str">
        <f t="shared" si="4"/>
        <v>0</v>
      </c>
      <c r="BC38" s="38">
        <f t="shared" si="5"/>
        <v>0</v>
      </c>
      <c r="BD38" s="38">
        <f t="shared" si="6"/>
        <v>0</v>
      </c>
      <c r="BL38" s="38" t="str">
        <f t="shared" si="7"/>
        <v/>
      </c>
      <c r="BM38" s="38" t="str">
        <f t="shared" si="8"/>
        <v/>
      </c>
      <c r="BN38" s="38" t="str">
        <f t="shared" si="9"/>
        <v/>
      </c>
      <c r="BO38" s="38" t="str">
        <f t="shared" si="10"/>
        <v/>
      </c>
      <c r="BP38" s="38" t="str">
        <f t="shared" si="11"/>
        <v/>
      </c>
      <c r="BQ38" s="38" t="str">
        <f t="shared" si="12"/>
        <v/>
      </c>
    </row>
    <row r="39" spans="1:69" ht="15.6" x14ac:dyDescent="0.3">
      <c r="A39" s="125"/>
      <c r="B39" s="397">
        <f>IF(ISBLANK(HLOOKUP($F$25,spelerslijsten!$B$1:$J$22,22,FALSE)),"",HLOOKUP($F$25,spelerslijsten!$B$1:$J$22,22,FALSE))</f>
        <v>11</v>
      </c>
      <c r="C39" s="398"/>
      <c r="D39" s="126"/>
      <c r="E39" s="259" t="str">
        <f>IF(ISBLANK(HLOOKUP($F$25,spelerslijsten!$B$1:$J$22,21,FALSE)),"",HLOOKUP($F$25,spelerslijsten!$B$1:$J$22,21,FALSE))</f>
        <v>Finn van der Krift</v>
      </c>
      <c r="F39" s="126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08">
        <f t="shared" si="23"/>
        <v>0</v>
      </c>
      <c r="W39" s="109" t="str">
        <f t="shared" si="24"/>
        <v/>
      </c>
      <c r="X39" s="110" t="str">
        <f t="shared" si="25"/>
        <v/>
      </c>
      <c r="Y39" s="103" t="str">
        <f t="shared" si="26"/>
        <v/>
      </c>
      <c r="Z39" s="111"/>
      <c r="AA39" s="112"/>
      <c r="AB39" s="113" t="str">
        <f t="shared" si="16"/>
        <v>-</v>
      </c>
      <c r="AC39" s="112"/>
      <c r="AD39" s="114"/>
      <c r="AE39" s="115"/>
      <c r="AF39" s="115"/>
      <c r="AG39" s="116"/>
      <c r="AH39" s="117"/>
      <c r="AI39" s="117"/>
      <c r="AJ39" s="342"/>
      <c r="AK39" s="343"/>
      <c r="AL39" s="346"/>
      <c r="AM39" s="347"/>
      <c r="AN39" s="118"/>
      <c r="AO39" s="101" t="str">
        <f t="shared" si="19"/>
        <v/>
      </c>
      <c r="AP39" s="113" t="str">
        <f t="shared" si="20"/>
        <v>-</v>
      </c>
      <c r="AQ39" s="119"/>
      <c r="AR39" s="103" t="str">
        <f t="shared" si="21"/>
        <v/>
      </c>
      <c r="AT39" s="38" t="str">
        <f t="shared" si="27"/>
        <v>B11</v>
      </c>
      <c r="AU39" s="38">
        <f t="shared" si="18"/>
        <v>0</v>
      </c>
      <c r="AY39" s="38" t="str">
        <f t="shared" si="1"/>
        <v/>
      </c>
      <c r="AZ39" s="38" t="str">
        <f t="shared" si="2"/>
        <v>0</v>
      </c>
      <c r="BA39" s="38" t="str">
        <f t="shared" si="3"/>
        <v>0</v>
      </c>
      <c r="BB39" s="38" t="str">
        <f t="shared" si="4"/>
        <v>0</v>
      </c>
      <c r="BC39" s="38">
        <f t="shared" si="5"/>
        <v>0</v>
      </c>
      <c r="BD39" s="38">
        <f t="shared" si="6"/>
        <v>0</v>
      </c>
      <c r="BL39" s="38" t="str">
        <f t="shared" si="7"/>
        <v/>
      </c>
      <c r="BM39" s="38" t="str">
        <f t="shared" si="8"/>
        <v/>
      </c>
      <c r="BN39" s="38" t="str">
        <f t="shared" si="9"/>
        <v/>
      </c>
      <c r="BO39" s="38" t="str">
        <f t="shared" si="10"/>
        <v/>
      </c>
      <c r="BP39" s="38" t="str">
        <f t="shared" si="11"/>
        <v/>
      </c>
      <c r="BQ39" s="38" t="str">
        <f t="shared" si="12"/>
        <v/>
      </c>
    </row>
    <row r="40" spans="1:69" ht="16.2" thickBot="1" x14ac:dyDescent="0.35">
      <c r="A40" s="71" t="s">
        <v>67</v>
      </c>
      <c r="B40" s="72"/>
      <c r="C40" s="72"/>
      <c r="D40" s="72"/>
      <c r="E40" s="72"/>
      <c r="F40" s="72"/>
      <c r="G40" s="72"/>
      <c r="H40" s="72"/>
      <c r="I40" s="399">
        <f>HLOOKUP(F25,spelerslijsten!B1:J25,25,FALSE)</f>
        <v>2</v>
      </c>
      <c r="J40" s="400"/>
      <c r="K40" s="74" t="s">
        <v>23</v>
      </c>
      <c r="L40" s="72"/>
      <c r="M40" s="72"/>
      <c r="N40" s="129" t="str">
        <f>HLOOKUP(F25,spelerslijsten!B1:J25,23,FALSE)</f>
        <v>Kevin van Boekel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30"/>
      <c r="Z40" s="111"/>
      <c r="AA40" s="112"/>
      <c r="AB40" s="113" t="str">
        <f t="shared" si="16"/>
        <v>-</v>
      </c>
      <c r="AC40" s="112"/>
      <c r="AD40" s="114"/>
      <c r="AE40" s="115"/>
      <c r="AF40" s="115"/>
      <c r="AG40" s="116"/>
      <c r="AH40" s="117"/>
      <c r="AI40" s="117"/>
      <c r="AJ40" s="342"/>
      <c r="AK40" s="343"/>
      <c r="AL40" s="346"/>
      <c r="AM40" s="347"/>
      <c r="AN40" s="118"/>
      <c r="AO40" s="101" t="str">
        <f t="shared" si="19"/>
        <v/>
      </c>
      <c r="AP40" s="113" t="str">
        <f t="shared" si="20"/>
        <v>-</v>
      </c>
      <c r="AQ40" s="119"/>
      <c r="AR40" s="103" t="str">
        <f t="shared" si="21"/>
        <v/>
      </c>
      <c r="AY40" s="38" t="str">
        <f t="shared" si="1"/>
        <v/>
      </c>
      <c r="AZ40" s="38" t="str">
        <f t="shared" si="2"/>
        <v>0</v>
      </c>
      <c r="BA40" s="38" t="str">
        <f t="shared" si="3"/>
        <v>0</v>
      </c>
      <c r="BB40" s="38" t="str">
        <f t="shared" si="4"/>
        <v>0</v>
      </c>
      <c r="BC40" s="38">
        <f t="shared" si="5"/>
        <v>0</v>
      </c>
      <c r="BD40" s="38">
        <f t="shared" si="6"/>
        <v>0</v>
      </c>
      <c r="BL40" s="38" t="str">
        <f t="shared" si="7"/>
        <v/>
      </c>
      <c r="BM40" s="38" t="str">
        <f t="shared" si="8"/>
        <v/>
      </c>
      <c r="BN40" s="38" t="str">
        <f t="shared" si="9"/>
        <v/>
      </c>
      <c r="BO40" s="38" t="str">
        <f t="shared" si="10"/>
        <v/>
      </c>
      <c r="BP40" s="38" t="str">
        <f t="shared" si="11"/>
        <v/>
      </c>
      <c r="BQ40" s="38" t="str">
        <f t="shared" si="12"/>
        <v/>
      </c>
    </row>
    <row r="41" spans="1:69" ht="15.6" x14ac:dyDescent="0.3">
      <c r="A41" s="157" t="s">
        <v>68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158"/>
      <c r="Z41" s="111"/>
      <c r="AA41" s="112"/>
      <c r="AB41" s="113" t="str">
        <f t="shared" si="16"/>
        <v>-</v>
      </c>
      <c r="AC41" s="112"/>
      <c r="AD41" s="114"/>
      <c r="AE41" s="115"/>
      <c r="AF41" s="115"/>
      <c r="AG41" s="116"/>
      <c r="AH41" s="117"/>
      <c r="AI41" s="117"/>
      <c r="AJ41" s="342"/>
      <c r="AK41" s="343"/>
      <c r="AL41" s="346"/>
      <c r="AM41" s="347"/>
      <c r="AN41" s="118"/>
      <c r="AO41" s="101" t="str">
        <f t="shared" si="19"/>
        <v/>
      </c>
      <c r="AP41" s="113" t="str">
        <f t="shared" si="20"/>
        <v>-</v>
      </c>
      <c r="AQ41" s="119"/>
      <c r="AR41" s="103" t="str">
        <f t="shared" si="21"/>
        <v/>
      </c>
      <c r="AY41" s="38" t="str">
        <f t="shared" si="1"/>
        <v/>
      </c>
      <c r="AZ41" s="38" t="str">
        <f t="shared" si="2"/>
        <v>0</v>
      </c>
      <c r="BA41" s="38" t="str">
        <f t="shared" si="3"/>
        <v>0</v>
      </c>
      <c r="BB41" s="38" t="str">
        <f t="shared" si="4"/>
        <v>0</v>
      </c>
      <c r="BC41" s="38">
        <f t="shared" si="5"/>
        <v>0</v>
      </c>
      <c r="BD41" s="38">
        <f t="shared" si="6"/>
        <v>0</v>
      </c>
      <c r="BL41" s="38" t="str">
        <f t="shared" si="7"/>
        <v/>
      </c>
      <c r="BM41" s="38" t="str">
        <f t="shared" si="8"/>
        <v/>
      </c>
      <c r="BN41" s="38" t="str">
        <f t="shared" si="9"/>
        <v/>
      </c>
      <c r="BO41" s="38" t="str">
        <f t="shared" si="10"/>
        <v/>
      </c>
      <c r="BP41" s="38" t="str">
        <f t="shared" si="11"/>
        <v/>
      </c>
      <c r="BQ41" s="38" t="str">
        <f t="shared" si="12"/>
        <v/>
      </c>
    </row>
    <row r="42" spans="1:69" ht="15.6" x14ac:dyDescent="0.3">
      <c r="A42" s="15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60"/>
      <c r="Z42" s="111"/>
      <c r="AA42" s="112"/>
      <c r="AB42" s="113" t="str">
        <f t="shared" si="16"/>
        <v>-</v>
      </c>
      <c r="AC42" s="112"/>
      <c r="AD42" s="114"/>
      <c r="AE42" s="115"/>
      <c r="AF42" s="115"/>
      <c r="AG42" s="116"/>
      <c r="AH42" s="117"/>
      <c r="AI42" s="117"/>
      <c r="AJ42" s="342"/>
      <c r="AK42" s="343"/>
      <c r="AL42" s="346"/>
      <c r="AM42" s="347"/>
      <c r="AN42" s="118"/>
      <c r="AO42" s="101" t="str">
        <f t="shared" si="19"/>
        <v/>
      </c>
      <c r="AP42" s="113" t="str">
        <f t="shared" si="20"/>
        <v>-</v>
      </c>
      <c r="AQ42" s="119"/>
      <c r="AR42" s="103" t="str">
        <f t="shared" si="21"/>
        <v/>
      </c>
      <c r="AY42" s="38" t="str">
        <f t="shared" si="1"/>
        <v/>
      </c>
      <c r="AZ42" s="38" t="str">
        <f t="shared" si="2"/>
        <v>0</v>
      </c>
      <c r="BA42" s="38" t="str">
        <f t="shared" si="3"/>
        <v>0</v>
      </c>
      <c r="BB42" s="38" t="str">
        <f t="shared" si="4"/>
        <v>0</v>
      </c>
      <c r="BC42" s="38">
        <f t="shared" si="5"/>
        <v>0</v>
      </c>
      <c r="BD42" s="38">
        <f t="shared" si="6"/>
        <v>0</v>
      </c>
      <c r="BL42" s="38" t="str">
        <f t="shared" si="7"/>
        <v/>
      </c>
      <c r="BM42" s="38" t="str">
        <f t="shared" si="8"/>
        <v/>
      </c>
      <c r="BN42" s="38" t="str">
        <f t="shared" si="9"/>
        <v/>
      </c>
      <c r="BO42" s="38" t="str">
        <f t="shared" si="10"/>
        <v/>
      </c>
      <c r="BP42" s="38" t="str">
        <f t="shared" si="11"/>
        <v/>
      </c>
      <c r="BQ42" s="38" t="str">
        <f t="shared" si="12"/>
        <v/>
      </c>
    </row>
    <row r="43" spans="1:69" ht="15.6" x14ac:dyDescent="0.3">
      <c r="A43" s="16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62"/>
      <c r="Z43" s="111"/>
      <c r="AA43" s="112"/>
      <c r="AB43" s="113" t="str">
        <f t="shared" si="16"/>
        <v>-</v>
      </c>
      <c r="AC43" s="112"/>
      <c r="AD43" s="114"/>
      <c r="AE43" s="115"/>
      <c r="AF43" s="115"/>
      <c r="AG43" s="116"/>
      <c r="AH43" s="117"/>
      <c r="AI43" s="117"/>
      <c r="AJ43" s="342"/>
      <c r="AK43" s="343"/>
      <c r="AL43" s="346"/>
      <c r="AM43" s="347"/>
      <c r="AN43" s="118"/>
      <c r="AO43" s="101" t="str">
        <f t="shared" si="19"/>
        <v/>
      </c>
      <c r="AP43" s="113" t="str">
        <f t="shared" si="20"/>
        <v>-</v>
      </c>
      <c r="AQ43" s="119"/>
      <c r="AR43" s="103" t="str">
        <f t="shared" si="21"/>
        <v/>
      </c>
      <c r="AY43" s="38" t="str">
        <f t="shared" si="1"/>
        <v/>
      </c>
      <c r="AZ43" s="38" t="str">
        <f t="shared" si="2"/>
        <v>0</v>
      </c>
      <c r="BA43" s="38" t="str">
        <f t="shared" si="3"/>
        <v>0</v>
      </c>
      <c r="BB43" s="38" t="str">
        <f t="shared" si="4"/>
        <v>0</v>
      </c>
      <c r="BC43" s="38">
        <f t="shared" si="5"/>
        <v>0</v>
      </c>
      <c r="BD43" s="38">
        <f t="shared" si="6"/>
        <v>0</v>
      </c>
      <c r="BL43" s="38" t="str">
        <f t="shared" si="7"/>
        <v/>
      </c>
      <c r="BM43" s="38" t="str">
        <f t="shared" si="8"/>
        <v/>
      </c>
      <c r="BN43" s="38" t="str">
        <f t="shared" si="9"/>
        <v/>
      </c>
      <c r="BO43" s="38" t="str">
        <f t="shared" si="10"/>
        <v/>
      </c>
      <c r="BP43" s="38" t="str">
        <f t="shared" si="11"/>
        <v/>
      </c>
      <c r="BQ43" s="38" t="str">
        <f t="shared" si="12"/>
        <v/>
      </c>
    </row>
    <row r="44" spans="1:69" ht="15.6" x14ac:dyDescent="0.3">
      <c r="A44" s="16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62"/>
      <c r="Z44" s="111"/>
      <c r="AA44" s="112"/>
      <c r="AB44" s="113" t="str">
        <f t="shared" si="16"/>
        <v>-</v>
      </c>
      <c r="AC44" s="112"/>
      <c r="AD44" s="114"/>
      <c r="AE44" s="115"/>
      <c r="AF44" s="115"/>
      <c r="AG44" s="116"/>
      <c r="AH44" s="117"/>
      <c r="AI44" s="117"/>
      <c r="AJ44" s="342"/>
      <c r="AK44" s="343"/>
      <c r="AL44" s="346"/>
      <c r="AM44" s="347"/>
      <c r="AN44" s="118"/>
      <c r="AO44" s="101" t="str">
        <f t="shared" si="19"/>
        <v/>
      </c>
      <c r="AP44" s="113" t="str">
        <f t="shared" si="20"/>
        <v>-</v>
      </c>
      <c r="AQ44" s="119"/>
      <c r="AR44" s="103" t="str">
        <f t="shared" si="21"/>
        <v/>
      </c>
      <c r="AY44" s="38" t="str">
        <f t="shared" si="1"/>
        <v/>
      </c>
      <c r="AZ44" s="38" t="str">
        <f t="shared" si="2"/>
        <v>0</v>
      </c>
      <c r="BA44" s="38" t="str">
        <f t="shared" si="3"/>
        <v>0</v>
      </c>
      <c r="BB44" s="38" t="str">
        <f t="shared" si="4"/>
        <v>0</v>
      </c>
      <c r="BC44" s="38">
        <f t="shared" si="5"/>
        <v>0</v>
      </c>
      <c r="BD44" s="38">
        <f t="shared" si="6"/>
        <v>0</v>
      </c>
      <c r="BL44" s="38" t="str">
        <f t="shared" si="7"/>
        <v/>
      </c>
      <c r="BM44" s="38" t="str">
        <f t="shared" si="8"/>
        <v/>
      </c>
      <c r="BN44" s="38" t="str">
        <f t="shared" si="9"/>
        <v/>
      </c>
      <c r="BO44" s="38" t="str">
        <f t="shared" si="10"/>
        <v/>
      </c>
      <c r="BP44" s="38" t="str">
        <f t="shared" si="11"/>
        <v/>
      </c>
      <c r="BQ44" s="38" t="str">
        <f t="shared" si="12"/>
        <v/>
      </c>
    </row>
    <row r="45" spans="1:69" ht="15.6" x14ac:dyDescent="0.3">
      <c r="A45" s="16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62"/>
      <c r="Z45" s="111"/>
      <c r="AA45" s="112"/>
      <c r="AB45" s="113" t="str">
        <f>+AB44</f>
        <v>-</v>
      </c>
      <c r="AC45" s="112"/>
      <c r="AD45" s="114"/>
      <c r="AE45" s="115"/>
      <c r="AF45" s="115"/>
      <c r="AG45" s="116"/>
      <c r="AH45" s="117"/>
      <c r="AI45" s="117"/>
      <c r="AJ45" s="342"/>
      <c r="AK45" s="343"/>
      <c r="AL45" s="346"/>
      <c r="AM45" s="347"/>
      <c r="AN45" s="118"/>
      <c r="AO45" s="101" t="str">
        <f t="shared" si="19"/>
        <v/>
      </c>
      <c r="AP45" s="113" t="str">
        <f t="shared" si="20"/>
        <v>-</v>
      </c>
      <c r="AQ45" s="119"/>
      <c r="AR45" s="103" t="str">
        <f t="shared" si="21"/>
        <v/>
      </c>
      <c r="AY45" s="38" t="str">
        <f t="shared" si="1"/>
        <v/>
      </c>
      <c r="AZ45" s="38" t="str">
        <f t="shared" si="2"/>
        <v>0</v>
      </c>
      <c r="BA45" s="38" t="str">
        <f t="shared" si="3"/>
        <v>0</v>
      </c>
      <c r="BB45" s="38" t="str">
        <f t="shared" si="4"/>
        <v>0</v>
      </c>
      <c r="BC45" s="38">
        <f t="shared" si="5"/>
        <v>0</v>
      </c>
      <c r="BD45" s="38">
        <f t="shared" si="6"/>
        <v>0</v>
      </c>
      <c r="BL45" s="38" t="str">
        <f t="shared" si="7"/>
        <v/>
      </c>
      <c r="BM45" s="38" t="str">
        <f t="shared" si="8"/>
        <v/>
      </c>
      <c r="BN45" s="38" t="str">
        <f t="shared" si="9"/>
        <v/>
      </c>
      <c r="BO45" s="38" t="str">
        <f t="shared" si="10"/>
        <v/>
      </c>
      <c r="BP45" s="38" t="str">
        <f t="shared" si="11"/>
        <v/>
      </c>
      <c r="BQ45" s="38" t="str">
        <f t="shared" si="12"/>
        <v/>
      </c>
    </row>
    <row r="46" spans="1:69" ht="16.2" thickBot="1" x14ac:dyDescent="0.35">
      <c r="A46" s="163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64"/>
      <c r="Z46" s="165"/>
      <c r="AA46" s="166"/>
      <c r="AB46" s="167" t="str">
        <f>+AB45</f>
        <v>-</v>
      </c>
      <c r="AC46" s="166"/>
      <c r="AD46" s="168"/>
      <c r="AE46" s="169"/>
      <c r="AF46" s="169"/>
      <c r="AG46" s="170"/>
      <c r="AH46" s="171"/>
      <c r="AI46" s="171"/>
      <c r="AJ46" s="344"/>
      <c r="AK46" s="345"/>
      <c r="AL46" s="352"/>
      <c r="AM46" s="353"/>
      <c r="AN46" s="172"/>
      <c r="AO46" s="101" t="str">
        <f t="shared" si="19"/>
        <v/>
      </c>
      <c r="AP46" s="113" t="str">
        <f t="shared" si="20"/>
        <v>-</v>
      </c>
      <c r="AQ46" s="119"/>
      <c r="AR46" s="103" t="str">
        <f t="shared" si="21"/>
        <v/>
      </c>
      <c r="AY46" s="38" t="str">
        <f t="shared" si="1"/>
        <v/>
      </c>
      <c r="AZ46" s="38" t="str">
        <f t="shared" si="2"/>
        <v>0</v>
      </c>
      <c r="BA46" s="38" t="str">
        <f t="shared" si="3"/>
        <v>0</v>
      </c>
      <c r="BB46" s="38" t="str">
        <f t="shared" si="4"/>
        <v>0</v>
      </c>
      <c r="BC46" s="38">
        <f t="shared" si="5"/>
        <v>0</v>
      </c>
      <c r="BD46" s="38">
        <f t="shared" si="6"/>
        <v>0</v>
      </c>
      <c r="BL46" s="38" t="str">
        <f t="shared" si="7"/>
        <v/>
      </c>
      <c r="BM46" s="38" t="str">
        <f t="shared" si="8"/>
        <v/>
      </c>
      <c r="BN46" s="38" t="str">
        <f t="shared" si="9"/>
        <v/>
      </c>
      <c r="BO46" s="38" t="str">
        <f t="shared" si="10"/>
        <v/>
      </c>
      <c r="BP46" s="38" t="str">
        <f t="shared" si="11"/>
        <v/>
      </c>
      <c r="BQ46" s="38" t="str">
        <f t="shared" si="12"/>
        <v/>
      </c>
    </row>
    <row r="47" spans="1:69" ht="18.600000000000001" thickBot="1" x14ac:dyDescent="0.35">
      <c r="A47" s="173" t="s">
        <v>69</v>
      </c>
      <c r="B47" s="174"/>
      <c r="C47" s="174"/>
      <c r="D47" s="174"/>
      <c r="E47" s="174"/>
      <c r="F47" s="174"/>
      <c r="G47" s="174">
        <f>IF(AO52&gt;AR52,AO52,IF(AO52=AR52,AO52,AR52))</f>
        <v>3</v>
      </c>
      <c r="H47" s="175" t="s">
        <v>16</v>
      </c>
      <c r="I47" s="174">
        <f>IF(AO52&gt;AR52,AR52,IF(AO52=AR52,AR52,AO52))</f>
        <v>1</v>
      </c>
      <c r="J47" s="174"/>
      <c r="K47" s="174" t="s">
        <v>70</v>
      </c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6" t="str">
        <f>BE52</f>
        <v>WIT</v>
      </c>
      <c r="W47" s="174"/>
      <c r="X47" s="174"/>
      <c r="Y47" s="174"/>
      <c r="Z47" s="174"/>
      <c r="AA47" s="174"/>
      <c r="AB47" s="174"/>
      <c r="AC47" s="174"/>
      <c r="AD47" s="177"/>
      <c r="AE47" s="178" t="s">
        <v>71</v>
      </c>
      <c r="AF47" s="179"/>
      <c r="AG47" s="179"/>
      <c r="AH47" s="179"/>
      <c r="AI47" s="179"/>
      <c r="AJ47" s="174"/>
      <c r="AK47" s="174"/>
      <c r="AL47" s="403" t="s">
        <v>177</v>
      </c>
      <c r="AM47" s="404"/>
      <c r="AN47" s="404"/>
      <c r="AO47" s="404"/>
      <c r="AP47" s="404"/>
      <c r="AQ47" s="404"/>
      <c r="AR47" s="405"/>
    </row>
    <row r="48" spans="1:69" x14ac:dyDescent="0.3">
      <c r="A48" s="180" t="s">
        <v>72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2"/>
      <c r="P48" s="183" t="s">
        <v>72</v>
      </c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2"/>
      <c r="AC48" s="181"/>
      <c r="AD48" s="184"/>
      <c r="AE48" s="185" t="s">
        <v>72</v>
      </c>
      <c r="AF48" s="186"/>
      <c r="AG48" s="186"/>
      <c r="AH48" s="186"/>
      <c r="AI48" s="186"/>
      <c r="AJ48" s="181"/>
      <c r="AK48" s="181"/>
      <c r="AL48" s="181"/>
      <c r="AM48" s="181"/>
      <c r="AN48" s="181"/>
      <c r="AO48" s="186"/>
      <c r="AP48" s="181"/>
      <c r="AQ48" s="181"/>
      <c r="AR48" s="187"/>
    </row>
    <row r="49" spans="1:57" x14ac:dyDescent="0.3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/>
      <c r="P49" s="191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90"/>
      <c r="AC49" s="189"/>
      <c r="AD49" s="192"/>
      <c r="AE49" s="193"/>
      <c r="AF49" s="193"/>
      <c r="AG49" s="193"/>
      <c r="AH49" s="193"/>
      <c r="AI49" s="193"/>
      <c r="AJ49" s="189"/>
      <c r="AK49" s="189"/>
      <c r="AL49" s="189"/>
      <c r="AM49" s="189"/>
      <c r="AN49" s="189"/>
      <c r="AO49" s="193"/>
      <c r="AP49" s="189"/>
      <c r="AQ49" s="189"/>
      <c r="AR49" s="194"/>
    </row>
    <row r="50" spans="1:57" ht="14.4" thickBot="1" x14ac:dyDescent="0.3">
      <c r="A50" s="195" t="s">
        <v>73</v>
      </c>
      <c r="B50" s="196"/>
      <c r="C50" s="196"/>
      <c r="D50" s="196"/>
      <c r="E50" s="196"/>
      <c r="F50" s="196"/>
      <c r="G50" s="196"/>
      <c r="H50" s="197" t="s">
        <v>74</v>
      </c>
      <c r="I50" s="196"/>
      <c r="J50" s="196"/>
      <c r="K50" s="196"/>
      <c r="L50" s="196"/>
      <c r="M50" s="196"/>
      <c r="N50" s="196"/>
      <c r="O50" s="198"/>
      <c r="P50" s="199" t="s">
        <v>73</v>
      </c>
      <c r="Q50" s="196"/>
      <c r="R50" s="196"/>
      <c r="S50" s="196"/>
      <c r="T50" s="196"/>
      <c r="U50" s="196"/>
      <c r="V50" s="196"/>
      <c r="W50" s="197" t="s">
        <v>75</v>
      </c>
      <c r="X50" s="196"/>
      <c r="Y50" s="196"/>
      <c r="Z50" s="196"/>
      <c r="AA50" s="196"/>
      <c r="AB50" s="198"/>
      <c r="AC50" s="196"/>
      <c r="AD50" s="200"/>
      <c r="AE50" s="201" t="s">
        <v>25</v>
      </c>
      <c r="AF50" s="202"/>
      <c r="AG50" s="202"/>
      <c r="AH50" s="202"/>
      <c r="AI50" s="202"/>
      <c r="AJ50" s="203"/>
      <c r="AK50" s="203"/>
      <c r="AL50" s="203"/>
      <c r="AM50" s="203"/>
      <c r="AN50" s="203"/>
      <c r="AO50" s="202"/>
      <c r="AP50" s="203"/>
      <c r="AQ50" s="203"/>
      <c r="AR50" s="204"/>
    </row>
    <row r="52" spans="1:57" hidden="1" x14ac:dyDescent="0.3">
      <c r="AO52" s="40">
        <f>IF(AO13="","",MAX(AO13:AO46))</f>
        <v>3</v>
      </c>
      <c r="AR52" s="40">
        <f>IF(AR13="","",MAX(AR13:AR46))</f>
        <v>1</v>
      </c>
      <c r="AS52" s="38" t="str">
        <f>IF(AO13="","0","1")</f>
        <v>1</v>
      </c>
      <c r="BE52" s="38" t="str">
        <f>IF(AS52="0","WIT/BLAUW",IF(AO52&gt;AR52,"WIT",IF(AO52=AR52,"GELIJK","BLAUW")))</f>
        <v>WIT</v>
      </c>
    </row>
  </sheetData>
  <sheetProtection sheet="1" objects="1" scenarios="1"/>
  <mergeCells count="107">
    <mergeCell ref="B30:C30"/>
    <mergeCell ref="B31:C31"/>
    <mergeCell ref="B32:C32"/>
    <mergeCell ref="B33:C33"/>
    <mergeCell ref="B34:C34"/>
    <mergeCell ref="I40:J40"/>
    <mergeCell ref="B35:C35"/>
    <mergeCell ref="B36:C36"/>
    <mergeCell ref="B37:C37"/>
    <mergeCell ref="B38:C38"/>
    <mergeCell ref="B39:C39"/>
    <mergeCell ref="B23:C23"/>
    <mergeCell ref="I24:J24"/>
    <mergeCell ref="F25:Y28"/>
    <mergeCell ref="A26:D28"/>
    <mergeCell ref="AL27:AM27"/>
    <mergeCell ref="AL28:AM28"/>
    <mergeCell ref="AL23:AM23"/>
    <mergeCell ref="AL24:AM24"/>
    <mergeCell ref="AL25:AM25"/>
    <mergeCell ref="AL26:AM26"/>
    <mergeCell ref="AJ23:AK23"/>
    <mergeCell ref="AJ24:AK24"/>
    <mergeCell ref="AJ25:AK25"/>
    <mergeCell ref="AJ26:AK26"/>
    <mergeCell ref="AJ27:AK27"/>
    <mergeCell ref="AJ28:AK28"/>
    <mergeCell ref="F10:Y12"/>
    <mergeCell ref="Z10:AD12"/>
    <mergeCell ref="AJ10:AK12"/>
    <mergeCell ref="AL10:AM12"/>
    <mergeCell ref="AN10:AR11"/>
    <mergeCell ref="AN12:AO12"/>
    <mergeCell ref="AQ12:AR12"/>
    <mergeCell ref="AL17:AM17"/>
    <mergeCell ref="AJ17:AK17"/>
    <mergeCell ref="AL22:AM22"/>
    <mergeCell ref="D3:N3"/>
    <mergeCell ref="AL13:AM13"/>
    <mergeCell ref="AL14:AM14"/>
    <mergeCell ref="AL15:AM15"/>
    <mergeCell ref="AL16:AM16"/>
    <mergeCell ref="D4:E4"/>
    <mergeCell ref="G4:I4"/>
    <mergeCell ref="A11:D12"/>
    <mergeCell ref="B14:C14"/>
    <mergeCell ref="B15:C15"/>
    <mergeCell ref="B16:C16"/>
    <mergeCell ref="AJ13:AK13"/>
    <mergeCell ref="AJ14:AK14"/>
    <mergeCell ref="AJ15:AK15"/>
    <mergeCell ref="AJ16:AK16"/>
    <mergeCell ref="B18:C18"/>
    <mergeCell ref="B19:C19"/>
    <mergeCell ref="B20:C20"/>
    <mergeCell ref="B21:C21"/>
    <mergeCell ref="B22:C22"/>
    <mergeCell ref="B17:C17"/>
    <mergeCell ref="K4:M4"/>
    <mergeCell ref="AH6:AR6"/>
    <mergeCell ref="BF4:BI6"/>
    <mergeCell ref="AL47:AR47"/>
    <mergeCell ref="AL44:AM44"/>
    <mergeCell ref="AL45:AM45"/>
    <mergeCell ref="AL46:AM46"/>
    <mergeCell ref="AL39:AM39"/>
    <mergeCell ref="AL40:AM40"/>
    <mergeCell ref="AL41:AM41"/>
    <mergeCell ref="AL42:AM42"/>
    <mergeCell ref="AL43:AM43"/>
    <mergeCell ref="AL34:AM34"/>
    <mergeCell ref="AL35:AM35"/>
    <mergeCell ref="AL36:AM36"/>
    <mergeCell ref="AL37:AM37"/>
    <mergeCell ref="AL38:AM38"/>
    <mergeCell ref="AL29:AM29"/>
    <mergeCell ref="AL30:AM30"/>
    <mergeCell ref="AL31:AM31"/>
    <mergeCell ref="AL32:AM32"/>
    <mergeCell ref="AL33:AM33"/>
    <mergeCell ref="AL18:AM18"/>
    <mergeCell ref="AL19:AM19"/>
    <mergeCell ref="AL20:AM20"/>
    <mergeCell ref="AL21:AM21"/>
    <mergeCell ref="AJ29:AK29"/>
    <mergeCell ref="AJ30:AK30"/>
    <mergeCell ref="AJ31:AK31"/>
    <mergeCell ref="AJ32:AK32"/>
    <mergeCell ref="AJ33:AK33"/>
    <mergeCell ref="AJ18:AK18"/>
    <mergeCell ref="AJ19:AK19"/>
    <mergeCell ref="AJ20:AK20"/>
    <mergeCell ref="AJ21:AK21"/>
    <mergeCell ref="AJ22:AK22"/>
    <mergeCell ref="AJ44:AK44"/>
    <mergeCell ref="AJ45:AK45"/>
    <mergeCell ref="AJ46:AK46"/>
    <mergeCell ref="AJ39:AK39"/>
    <mergeCell ref="AJ40:AK40"/>
    <mergeCell ref="AJ41:AK41"/>
    <mergeCell ref="AJ42:AK42"/>
    <mergeCell ref="AJ43:AK43"/>
    <mergeCell ref="AJ34:AK34"/>
    <mergeCell ref="AJ35:AK35"/>
    <mergeCell ref="AJ36:AK36"/>
    <mergeCell ref="AJ37:AK37"/>
    <mergeCell ref="AJ38:AK38"/>
  </mergeCells>
  <dataValidations count="1">
    <dataValidation type="list" allowBlank="1" showInputMessage="1" showErrorMessage="1" sqref="AL47:AR47" xr:uid="{AEB652A5-5D90-416E-AA30-B4493929EDED}">
      <formula1>"JA/NEE,JA,NEE"</formula1>
    </dataValidation>
  </dataValidations>
  <hyperlinks>
    <hyperlink ref="BF4:BI6" location="Wedstrijden!A1" display="Wedstrijdschema" xr:uid="{DDD14DE7-D4A2-4C55-84E4-F14D7E58C098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IV52"/>
  <sheetViews>
    <sheetView zoomScaleNormal="100" workbookViewId="0">
      <selection activeCell="BF4" sqref="BF4:BI6"/>
    </sheetView>
  </sheetViews>
  <sheetFormatPr defaultRowHeight="13.8" x14ac:dyDescent="0.3"/>
  <cols>
    <col min="1" max="6" width="2.33203125" style="38" customWidth="1"/>
    <col min="7" max="7" width="3.33203125" style="38" customWidth="1"/>
    <col min="8" max="8" width="2.33203125" style="38" customWidth="1"/>
    <col min="9" max="9" width="3.33203125" style="38" customWidth="1"/>
    <col min="10" max="25" width="2.33203125" style="38" customWidth="1"/>
    <col min="26" max="28" width="2.109375" style="38" customWidth="1"/>
    <col min="29" max="29" width="3" style="38" customWidth="1"/>
    <col min="30" max="30" width="2.109375" style="39" customWidth="1"/>
    <col min="31" max="35" width="2.33203125" style="40" customWidth="1"/>
    <col min="36" max="39" width="2.33203125" style="38" customWidth="1"/>
    <col min="40" max="40" width="2.109375" style="38" customWidth="1"/>
    <col min="41" max="41" width="3.33203125" style="40" customWidth="1"/>
    <col min="42" max="43" width="2.109375" style="38" customWidth="1"/>
    <col min="44" max="44" width="3.33203125" style="40" customWidth="1"/>
    <col min="45" max="45" width="9.109375" style="38"/>
    <col min="46" max="56" width="9.109375" style="38" hidden="1" customWidth="1"/>
    <col min="57" max="62" width="9.109375" style="38"/>
    <col min="63" max="69" width="0" style="38" hidden="1" customWidth="1"/>
    <col min="70" max="256" width="9.109375" style="38"/>
    <col min="257" max="281" width="2.33203125" style="38" customWidth="1"/>
    <col min="282" max="286" width="2.109375" style="38" customWidth="1"/>
    <col min="287" max="295" width="2.33203125" style="38" customWidth="1"/>
    <col min="296" max="300" width="2.109375" style="38" customWidth="1"/>
    <col min="301" max="512" width="9.109375" style="38"/>
    <col min="513" max="537" width="2.33203125" style="38" customWidth="1"/>
    <col min="538" max="542" width="2.109375" style="38" customWidth="1"/>
    <col min="543" max="551" width="2.33203125" style="38" customWidth="1"/>
    <col min="552" max="556" width="2.109375" style="38" customWidth="1"/>
    <col min="557" max="768" width="9.109375" style="38"/>
    <col min="769" max="793" width="2.33203125" style="38" customWidth="1"/>
    <col min="794" max="798" width="2.109375" style="38" customWidth="1"/>
    <col min="799" max="807" width="2.33203125" style="38" customWidth="1"/>
    <col min="808" max="812" width="2.109375" style="38" customWidth="1"/>
    <col min="813" max="1024" width="9.109375" style="38"/>
    <col min="1025" max="1049" width="2.33203125" style="38" customWidth="1"/>
    <col min="1050" max="1054" width="2.109375" style="38" customWidth="1"/>
    <col min="1055" max="1063" width="2.33203125" style="38" customWidth="1"/>
    <col min="1064" max="1068" width="2.109375" style="38" customWidth="1"/>
    <col min="1069" max="1280" width="9.109375" style="38"/>
    <col min="1281" max="1305" width="2.33203125" style="38" customWidth="1"/>
    <col min="1306" max="1310" width="2.109375" style="38" customWidth="1"/>
    <col min="1311" max="1319" width="2.33203125" style="38" customWidth="1"/>
    <col min="1320" max="1324" width="2.109375" style="38" customWidth="1"/>
    <col min="1325" max="1536" width="9.109375" style="38"/>
    <col min="1537" max="1561" width="2.33203125" style="38" customWidth="1"/>
    <col min="1562" max="1566" width="2.109375" style="38" customWidth="1"/>
    <col min="1567" max="1575" width="2.33203125" style="38" customWidth="1"/>
    <col min="1576" max="1580" width="2.109375" style="38" customWidth="1"/>
    <col min="1581" max="1792" width="9.109375" style="38"/>
    <col min="1793" max="1817" width="2.33203125" style="38" customWidth="1"/>
    <col min="1818" max="1822" width="2.109375" style="38" customWidth="1"/>
    <col min="1823" max="1831" width="2.33203125" style="38" customWidth="1"/>
    <col min="1832" max="1836" width="2.109375" style="38" customWidth="1"/>
    <col min="1837" max="2048" width="9.109375" style="38"/>
    <col min="2049" max="2073" width="2.33203125" style="38" customWidth="1"/>
    <col min="2074" max="2078" width="2.109375" style="38" customWidth="1"/>
    <col min="2079" max="2087" width="2.33203125" style="38" customWidth="1"/>
    <col min="2088" max="2092" width="2.109375" style="38" customWidth="1"/>
    <col min="2093" max="2304" width="9.109375" style="38"/>
    <col min="2305" max="2329" width="2.33203125" style="38" customWidth="1"/>
    <col min="2330" max="2334" width="2.109375" style="38" customWidth="1"/>
    <col min="2335" max="2343" width="2.33203125" style="38" customWidth="1"/>
    <col min="2344" max="2348" width="2.109375" style="38" customWidth="1"/>
    <col min="2349" max="2560" width="9.109375" style="38"/>
    <col min="2561" max="2585" width="2.33203125" style="38" customWidth="1"/>
    <col min="2586" max="2590" width="2.109375" style="38" customWidth="1"/>
    <col min="2591" max="2599" width="2.33203125" style="38" customWidth="1"/>
    <col min="2600" max="2604" width="2.109375" style="38" customWidth="1"/>
    <col min="2605" max="2816" width="9.109375" style="38"/>
    <col min="2817" max="2841" width="2.33203125" style="38" customWidth="1"/>
    <col min="2842" max="2846" width="2.109375" style="38" customWidth="1"/>
    <col min="2847" max="2855" width="2.33203125" style="38" customWidth="1"/>
    <col min="2856" max="2860" width="2.109375" style="38" customWidth="1"/>
    <col min="2861" max="3072" width="9.109375" style="38"/>
    <col min="3073" max="3097" width="2.33203125" style="38" customWidth="1"/>
    <col min="3098" max="3102" width="2.109375" style="38" customWidth="1"/>
    <col min="3103" max="3111" width="2.33203125" style="38" customWidth="1"/>
    <col min="3112" max="3116" width="2.109375" style="38" customWidth="1"/>
    <col min="3117" max="3328" width="9.109375" style="38"/>
    <col min="3329" max="3353" width="2.33203125" style="38" customWidth="1"/>
    <col min="3354" max="3358" width="2.109375" style="38" customWidth="1"/>
    <col min="3359" max="3367" width="2.33203125" style="38" customWidth="1"/>
    <col min="3368" max="3372" width="2.109375" style="38" customWidth="1"/>
    <col min="3373" max="3584" width="9.109375" style="38"/>
    <col min="3585" max="3609" width="2.33203125" style="38" customWidth="1"/>
    <col min="3610" max="3614" width="2.109375" style="38" customWidth="1"/>
    <col min="3615" max="3623" width="2.33203125" style="38" customWidth="1"/>
    <col min="3624" max="3628" width="2.109375" style="38" customWidth="1"/>
    <col min="3629" max="3840" width="9.109375" style="38"/>
    <col min="3841" max="3865" width="2.33203125" style="38" customWidth="1"/>
    <col min="3866" max="3870" width="2.109375" style="38" customWidth="1"/>
    <col min="3871" max="3879" width="2.33203125" style="38" customWidth="1"/>
    <col min="3880" max="3884" width="2.109375" style="38" customWidth="1"/>
    <col min="3885" max="4096" width="9.109375" style="38"/>
    <col min="4097" max="4121" width="2.33203125" style="38" customWidth="1"/>
    <col min="4122" max="4126" width="2.109375" style="38" customWidth="1"/>
    <col min="4127" max="4135" width="2.33203125" style="38" customWidth="1"/>
    <col min="4136" max="4140" width="2.109375" style="38" customWidth="1"/>
    <col min="4141" max="4352" width="9.109375" style="38"/>
    <col min="4353" max="4377" width="2.33203125" style="38" customWidth="1"/>
    <col min="4378" max="4382" width="2.109375" style="38" customWidth="1"/>
    <col min="4383" max="4391" width="2.33203125" style="38" customWidth="1"/>
    <col min="4392" max="4396" width="2.109375" style="38" customWidth="1"/>
    <col min="4397" max="4608" width="9.109375" style="38"/>
    <col min="4609" max="4633" width="2.33203125" style="38" customWidth="1"/>
    <col min="4634" max="4638" width="2.109375" style="38" customWidth="1"/>
    <col min="4639" max="4647" width="2.33203125" style="38" customWidth="1"/>
    <col min="4648" max="4652" width="2.109375" style="38" customWidth="1"/>
    <col min="4653" max="4864" width="9.109375" style="38"/>
    <col min="4865" max="4889" width="2.33203125" style="38" customWidth="1"/>
    <col min="4890" max="4894" width="2.109375" style="38" customWidth="1"/>
    <col min="4895" max="4903" width="2.33203125" style="38" customWidth="1"/>
    <col min="4904" max="4908" width="2.109375" style="38" customWidth="1"/>
    <col min="4909" max="5120" width="9.109375" style="38"/>
    <col min="5121" max="5145" width="2.33203125" style="38" customWidth="1"/>
    <col min="5146" max="5150" width="2.109375" style="38" customWidth="1"/>
    <col min="5151" max="5159" width="2.33203125" style="38" customWidth="1"/>
    <col min="5160" max="5164" width="2.109375" style="38" customWidth="1"/>
    <col min="5165" max="5376" width="9.109375" style="38"/>
    <col min="5377" max="5401" width="2.33203125" style="38" customWidth="1"/>
    <col min="5402" max="5406" width="2.109375" style="38" customWidth="1"/>
    <col min="5407" max="5415" width="2.33203125" style="38" customWidth="1"/>
    <col min="5416" max="5420" width="2.109375" style="38" customWidth="1"/>
    <col min="5421" max="5632" width="9.109375" style="38"/>
    <col min="5633" max="5657" width="2.33203125" style="38" customWidth="1"/>
    <col min="5658" max="5662" width="2.109375" style="38" customWidth="1"/>
    <col min="5663" max="5671" width="2.33203125" style="38" customWidth="1"/>
    <col min="5672" max="5676" width="2.109375" style="38" customWidth="1"/>
    <col min="5677" max="5888" width="9.109375" style="38"/>
    <col min="5889" max="5913" width="2.33203125" style="38" customWidth="1"/>
    <col min="5914" max="5918" width="2.109375" style="38" customWidth="1"/>
    <col min="5919" max="5927" width="2.33203125" style="38" customWidth="1"/>
    <col min="5928" max="5932" width="2.109375" style="38" customWidth="1"/>
    <col min="5933" max="6144" width="9.109375" style="38"/>
    <col min="6145" max="6169" width="2.33203125" style="38" customWidth="1"/>
    <col min="6170" max="6174" width="2.109375" style="38" customWidth="1"/>
    <col min="6175" max="6183" width="2.33203125" style="38" customWidth="1"/>
    <col min="6184" max="6188" width="2.109375" style="38" customWidth="1"/>
    <col min="6189" max="6400" width="9.109375" style="38"/>
    <col min="6401" max="6425" width="2.33203125" style="38" customWidth="1"/>
    <col min="6426" max="6430" width="2.109375" style="38" customWidth="1"/>
    <col min="6431" max="6439" width="2.33203125" style="38" customWidth="1"/>
    <col min="6440" max="6444" width="2.109375" style="38" customWidth="1"/>
    <col min="6445" max="6656" width="9.109375" style="38"/>
    <col min="6657" max="6681" width="2.33203125" style="38" customWidth="1"/>
    <col min="6682" max="6686" width="2.109375" style="38" customWidth="1"/>
    <col min="6687" max="6695" width="2.33203125" style="38" customWidth="1"/>
    <col min="6696" max="6700" width="2.109375" style="38" customWidth="1"/>
    <col min="6701" max="6912" width="9.109375" style="38"/>
    <col min="6913" max="6937" width="2.33203125" style="38" customWidth="1"/>
    <col min="6938" max="6942" width="2.109375" style="38" customWidth="1"/>
    <col min="6943" max="6951" width="2.33203125" style="38" customWidth="1"/>
    <col min="6952" max="6956" width="2.109375" style="38" customWidth="1"/>
    <col min="6957" max="7168" width="9.109375" style="38"/>
    <col min="7169" max="7193" width="2.33203125" style="38" customWidth="1"/>
    <col min="7194" max="7198" width="2.109375" style="38" customWidth="1"/>
    <col min="7199" max="7207" width="2.33203125" style="38" customWidth="1"/>
    <col min="7208" max="7212" width="2.109375" style="38" customWidth="1"/>
    <col min="7213" max="7424" width="9.109375" style="38"/>
    <col min="7425" max="7449" width="2.33203125" style="38" customWidth="1"/>
    <col min="7450" max="7454" width="2.109375" style="38" customWidth="1"/>
    <col min="7455" max="7463" width="2.33203125" style="38" customWidth="1"/>
    <col min="7464" max="7468" width="2.109375" style="38" customWidth="1"/>
    <col min="7469" max="7680" width="9.109375" style="38"/>
    <col min="7681" max="7705" width="2.33203125" style="38" customWidth="1"/>
    <col min="7706" max="7710" width="2.109375" style="38" customWidth="1"/>
    <col min="7711" max="7719" width="2.33203125" style="38" customWidth="1"/>
    <col min="7720" max="7724" width="2.109375" style="38" customWidth="1"/>
    <col min="7725" max="7936" width="9.109375" style="38"/>
    <col min="7937" max="7961" width="2.33203125" style="38" customWidth="1"/>
    <col min="7962" max="7966" width="2.109375" style="38" customWidth="1"/>
    <col min="7967" max="7975" width="2.33203125" style="38" customWidth="1"/>
    <col min="7976" max="7980" width="2.109375" style="38" customWidth="1"/>
    <col min="7981" max="8192" width="9.109375" style="38"/>
    <col min="8193" max="8217" width="2.33203125" style="38" customWidth="1"/>
    <col min="8218" max="8222" width="2.109375" style="38" customWidth="1"/>
    <col min="8223" max="8231" width="2.33203125" style="38" customWidth="1"/>
    <col min="8232" max="8236" width="2.109375" style="38" customWidth="1"/>
    <col min="8237" max="8448" width="9.109375" style="38"/>
    <col min="8449" max="8473" width="2.33203125" style="38" customWidth="1"/>
    <col min="8474" max="8478" width="2.109375" style="38" customWidth="1"/>
    <col min="8479" max="8487" width="2.33203125" style="38" customWidth="1"/>
    <col min="8488" max="8492" width="2.109375" style="38" customWidth="1"/>
    <col min="8493" max="8704" width="9.109375" style="38"/>
    <col min="8705" max="8729" width="2.33203125" style="38" customWidth="1"/>
    <col min="8730" max="8734" width="2.109375" style="38" customWidth="1"/>
    <col min="8735" max="8743" width="2.33203125" style="38" customWidth="1"/>
    <col min="8744" max="8748" width="2.109375" style="38" customWidth="1"/>
    <col min="8749" max="8960" width="9.109375" style="38"/>
    <col min="8961" max="8985" width="2.33203125" style="38" customWidth="1"/>
    <col min="8986" max="8990" width="2.109375" style="38" customWidth="1"/>
    <col min="8991" max="8999" width="2.33203125" style="38" customWidth="1"/>
    <col min="9000" max="9004" width="2.109375" style="38" customWidth="1"/>
    <col min="9005" max="9216" width="9.109375" style="38"/>
    <col min="9217" max="9241" width="2.33203125" style="38" customWidth="1"/>
    <col min="9242" max="9246" width="2.109375" style="38" customWidth="1"/>
    <col min="9247" max="9255" width="2.33203125" style="38" customWidth="1"/>
    <col min="9256" max="9260" width="2.109375" style="38" customWidth="1"/>
    <col min="9261" max="9472" width="9.109375" style="38"/>
    <col min="9473" max="9497" width="2.33203125" style="38" customWidth="1"/>
    <col min="9498" max="9502" width="2.109375" style="38" customWidth="1"/>
    <col min="9503" max="9511" width="2.33203125" style="38" customWidth="1"/>
    <col min="9512" max="9516" width="2.109375" style="38" customWidth="1"/>
    <col min="9517" max="9728" width="9.109375" style="38"/>
    <col min="9729" max="9753" width="2.33203125" style="38" customWidth="1"/>
    <col min="9754" max="9758" width="2.109375" style="38" customWidth="1"/>
    <col min="9759" max="9767" width="2.33203125" style="38" customWidth="1"/>
    <col min="9768" max="9772" width="2.109375" style="38" customWidth="1"/>
    <col min="9773" max="9984" width="9.109375" style="38"/>
    <col min="9985" max="10009" width="2.33203125" style="38" customWidth="1"/>
    <col min="10010" max="10014" width="2.109375" style="38" customWidth="1"/>
    <col min="10015" max="10023" width="2.33203125" style="38" customWidth="1"/>
    <col min="10024" max="10028" width="2.109375" style="38" customWidth="1"/>
    <col min="10029" max="10240" width="9.109375" style="38"/>
    <col min="10241" max="10265" width="2.33203125" style="38" customWidth="1"/>
    <col min="10266" max="10270" width="2.109375" style="38" customWidth="1"/>
    <col min="10271" max="10279" width="2.33203125" style="38" customWidth="1"/>
    <col min="10280" max="10284" width="2.109375" style="38" customWidth="1"/>
    <col min="10285" max="10496" width="9.109375" style="38"/>
    <col min="10497" max="10521" width="2.33203125" style="38" customWidth="1"/>
    <col min="10522" max="10526" width="2.109375" style="38" customWidth="1"/>
    <col min="10527" max="10535" width="2.33203125" style="38" customWidth="1"/>
    <col min="10536" max="10540" width="2.109375" style="38" customWidth="1"/>
    <col min="10541" max="10752" width="9.109375" style="38"/>
    <col min="10753" max="10777" width="2.33203125" style="38" customWidth="1"/>
    <col min="10778" max="10782" width="2.109375" style="38" customWidth="1"/>
    <col min="10783" max="10791" width="2.33203125" style="38" customWidth="1"/>
    <col min="10792" max="10796" width="2.109375" style="38" customWidth="1"/>
    <col min="10797" max="11008" width="9.109375" style="38"/>
    <col min="11009" max="11033" width="2.33203125" style="38" customWidth="1"/>
    <col min="11034" max="11038" width="2.109375" style="38" customWidth="1"/>
    <col min="11039" max="11047" width="2.33203125" style="38" customWidth="1"/>
    <col min="11048" max="11052" width="2.109375" style="38" customWidth="1"/>
    <col min="11053" max="11264" width="9.109375" style="38"/>
    <col min="11265" max="11289" width="2.33203125" style="38" customWidth="1"/>
    <col min="11290" max="11294" width="2.109375" style="38" customWidth="1"/>
    <col min="11295" max="11303" width="2.33203125" style="38" customWidth="1"/>
    <col min="11304" max="11308" width="2.109375" style="38" customWidth="1"/>
    <col min="11309" max="11520" width="9.109375" style="38"/>
    <col min="11521" max="11545" width="2.33203125" style="38" customWidth="1"/>
    <col min="11546" max="11550" width="2.109375" style="38" customWidth="1"/>
    <col min="11551" max="11559" width="2.33203125" style="38" customWidth="1"/>
    <col min="11560" max="11564" width="2.109375" style="38" customWidth="1"/>
    <col min="11565" max="11776" width="9.109375" style="38"/>
    <col min="11777" max="11801" width="2.33203125" style="38" customWidth="1"/>
    <col min="11802" max="11806" width="2.109375" style="38" customWidth="1"/>
    <col min="11807" max="11815" width="2.33203125" style="38" customWidth="1"/>
    <col min="11816" max="11820" width="2.109375" style="38" customWidth="1"/>
    <col min="11821" max="12032" width="9.109375" style="38"/>
    <col min="12033" max="12057" width="2.33203125" style="38" customWidth="1"/>
    <col min="12058" max="12062" width="2.109375" style="38" customWidth="1"/>
    <col min="12063" max="12071" width="2.33203125" style="38" customWidth="1"/>
    <col min="12072" max="12076" width="2.109375" style="38" customWidth="1"/>
    <col min="12077" max="12288" width="9.109375" style="38"/>
    <col min="12289" max="12313" width="2.33203125" style="38" customWidth="1"/>
    <col min="12314" max="12318" width="2.109375" style="38" customWidth="1"/>
    <col min="12319" max="12327" width="2.33203125" style="38" customWidth="1"/>
    <col min="12328" max="12332" width="2.109375" style="38" customWidth="1"/>
    <col min="12333" max="12544" width="9.109375" style="38"/>
    <col min="12545" max="12569" width="2.33203125" style="38" customWidth="1"/>
    <col min="12570" max="12574" width="2.109375" style="38" customWidth="1"/>
    <col min="12575" max="12583" width="2.33203125" style="38" customWidth="1"/>
    <col min="12584" max="12588" width="2.109375" style="38" customWidth="1"/>
    <col min="12589" max="12800" width="9.109375" style="38"/>
    <col min="12801" max="12825" width="2.33203125" style="38" customWidth="1"/>
    <col min="12826" max="12830" width="2.109375" style="38" customWidth="1"/>
    <col min="12831" max="12839" width="2.33203125" style="38" customWidth="1"/>
    <col min="12840" max="12844" width="2.109375" style="38" customWidth="1"/>
    <col min="12845" max="13056" width="9.109375" style="38"/>
    <col min="13057" max="13081" width="2.33203125" style="38" customWidth="1"/>
    <col min="13082" max="13086" width="2.109375" style="38" customWidth="1"/>
    <col min="13087" max="13095" width="2.33203125" style="38" customWidth="1"/>
    <col min="13096" max="13100" width="2.109375" style="38" customWidth="1"/>
    <col min="13101" max="13312" width="9.109375" style="38"/>
    <col min="13313" max="13337" width="2.33203125" style="38" customWidth="1"/>
    <col min="13338" max="13342" width="2.109375" style="38" customWidth="1"/>
    <col min="13343" max="13351" width="2.33203125" style="38" customWidth="1"/>
    <col min="13352" max="13356" width="2.109375" style="38" customWidth="1"/>
    <col min="13357" max="13568" width="9.109375" style="38"/>
    <col min="13569" max="13593" width="2.33203125" style="38" customWidth="1"/>
    <col min="13594" max="13598" width="2.109375" style="38" customWidth="1"/>
    <col min="13599" max="13607" width="2.33203125" style="38" customWidth="1"/>
    <col min="13608" max="13612" width="2.109375" style="38" customWidth="1"/>
    <col min="13613" max="13824" width="9.109375" style="38"/>
    <col min="13825" max="13849" width="2.33203125" style="38" customWidth="1"/>
    <col min="13850" max="13854" width="2.109375" style="38" customWidth="1"/>
    <col min="13855" max="13863" width="2.33203125" style="38" customWidth="1"/>
    <col min="13864" max="13868" width="2.109375" style="38" customWidth="1"/>
    <col min="13869" max="14080" width="9.109375" style="38"/>
    <col min="14081" max="14105" width="2.33203125" style="38" customWidth="1"/>
    <col min="14106" max="14110" width="2.109375" style="38" customWidth="1"/>
    <col min="14111" max="14119" width="2.33203125" style="38" customWidth="1"/>
    <col min="14120" max="14124" width="2.109375" style="38" customWidth="1"/>
    <col min="14125" max="14336" width="9.109375" style="38"/>
    <col min="14337" max="14361" width="2.33203125" style="38" customWidth="1"/>
    <col min="14362" max="14366" width="2.109375" style="38" customWidth="1"/>
    <col min="14367" max="14375" width="2.33203125" style="38" customWidth="1"/>
    <col min="14376" max="14380" width="2.109375" style="38" customWidth="1"/>
    <col min="14381" max="14592" width="9.109375" style="38"/>
    <col min="14593" max="14617" width="2.33203125" style="38" customWidth="1"/>
    <col min="14618" max="14622" width="2.109375" style="38" customWidth="1"/>
    <col min="14623" max="14631" width="2.33203125" style="38" customWidth="1"/>
    <col min="14632" max="14636" width="2.109375" style="38" customWidth="1"/>
    <col min="14637" max="14848" width="9.109375" style="38"/>
    <col min="14849" max="14873" width="2.33203125" style="38" customWidth="1"/>
    <col min="14874" max="14878" width="2.109375" style="38" customWidth="1"/>
    <col min="14879" max="14887" width="2.33203125" style="38" customWidth="1"/>
    <col min="14888" max="14892" width="2.109375" style="38" customWidth="1"/>
    <col min="14893" max="15104" width="9.109375" style="38"/>
    <col min="15105" max="15129" width="2.33203125" style="38" customWidth="1"/>
    <col min="15130" max="15134" width="2.109375" style="38" customWidth="1"/>
    <col min="15135" max="15143" width="2.33203125" style="38" customWidth="1"/>
    <col min="15144" max="15148" width="2.109375" style="38" customWidth="1"/>
    <col min="15149" max="15360" width="9.109375" style="38"/>
    <col min="15361" max="15385" width="2.33203125" style="38" customWidth="1"/>
    <col min="15386" max="15390" width="2.109375" style="38" customWidth="1"/>
    <col min="15391" max="15399" width="2.33203125" style="38" customWidth="1"/>
    <col min="15400" max="15404" width="2.109375" style="38" customWidth="1"/>
    <col min="15405" max="15616" width="9.109375" style="38"/>
    <col min="15617" max="15641" width="2.33203125" style="38" customWidth="1"/>
    <col min="15642" max="15646" width="2.109375" style="38" customWidth="1"/>
    <col min="15647" max="15655" width="2.33203125" style="38" customWidth="1"/>
    <col min="15656" max="15660" width="2.109375" style="38" customWidth="1"/>
    <col min="15661" max="15872" width="9.109375" style="38"/>
    <col min="15873" max="15897" width="2.33203125" style="38" customWidth="1"/>
    <col min="15898" max="15902" width="2.109375" style="38" customWidth="1"/>
    <col min="15903" max="15911" width="2.33203125" style="38" customWidth="1"/>
    <col min="15912" max="15916" width="2.109375" style="38" customWidth="1"/>
    <col min="15917" max="16128" width="9.109375" style="38"/>
    <col min="16129" max="16153" width="2.33203125" style="38" customWidth="1"/>
    <col min="16154" max="16158" width="2.109375" style="38" customWidth="1"/>
    <col min="16159" max="16167" width="2.33203125" style="38" customWidth="1"/>
    <col min="16168" max="16172" width="2.109375" style="38" customWidth="1"/>
    <col min="16173" max="16384" width="9.109375" style="38"/>
  </cols>
  <sheetData>
    <row r="1" spans="1:256" ht="20.399999999999999" x14ac:dyDescent="0.3">
      <c r="A1" s="37" t="s">
        <v>40</v>
      </c>
      <c r="AO1" s="41">
        <v>0</v>
      </c>
      <c r="AP1" s="42"/>
      <c r="AQ1" s="42"/>
      <c r="AR1" s="41">
        <v>0</v>
      </c>
      <c r="AV1" s="43">
        <v>1.3888888888888888E-2</v>
      </c>
    </row>
    <row r="2" spans="1:256" x14ac:dyDescent="0.3">
      <c r="A2" s="38" t="s">
        <v>42</v>
      </c>
      <c r="E2" s="38" t="s">
        <v>76</v>
      </c>
      <c r="P2" s="44" t="s">
        <v>22</v>
      </c>
      <c r="Q2" s="45"/>
      <c r="R2" s="45"/>
      <c r="S2" s="45"/>
      <c r="T2" s="45"/>
      <c r="U2" s="45"/>
      <c r="V2" s="45"/>
      <c r="W2" s="45" t="s">
        <v>3</v>
      </c>
      <c r="X2" s="45"/>
      <c r="Y2" s="46" t="s">
        <v>41</v>
      </c>
      <c r="Z2" s="45"/>
      <c r="AA2" s="45"/>
      <c r="AB2" s="45"/>
      <c r="AC2" s="45"/>
      <c r="AD2" s="47"/>
      <c r="AE2" s="48"/>
      <c r="AF2" s="48"/>
      <c r="AG2" s="49"/>
    </row>
    <row r="3" spans="1:256" ht="15" thickBot="1" x14ac:dyDescent="0.35">
      <c r="A3" s="38" t="s">
        <v>19</v>
      </c>
      <c r="D3" s="415">
        <f>Wedstrijden!I2</f>
        <v>45732</v>
      </c>
      <c r="E3" s="416"/>
      <c r="F3" s="416"/>
      <c r="G3" s="416"/>
      <c r="H3" s="416"/>
      <c r="I3" s="416"/>
      <c r="J3" s="416"/>
      <c r="K3" s="416"/>
      <c r="L3" s="416"/>
      <c r="M3" s="416"/>
      <c r="N3" s="417"/>
      <c r="P3" s="50" t="s">
        <v>18</v>
      </c>
      <c r="Q3" s="51" t="s">
        <v>43</v>
      </c>
      <c r="W3" s="38" t="s">
        <v>0</v>
      </c>
      <c r="Y3" s="51" t="s">
        <v>44</v>
      </c>
      <c r="AG3" s="52"/>
    </row>
    <row r="4" spans="1:256" x14ac:dyDescent="0.3">
      <c r="A4" s="38" t="s">
        <v>20</v>
      </c>
      <c r="D4" s="418">
        <v>7</v>
      </c>
      <c r="E4" s="418"/>
      <c r="F4" s="53"/>
      <c r="G4" s="419">
        <f>VLOOKUP(D4,Wedstrijden!A6:B57,2,0)</f>
        <v>0.57638888888888884</v>
      </c>
      <c r="H4" s="419"/>
      <c r="I4" s="419"/>
      <c r="J4" s="54" t="s">
        <v>16</v>
      </c>
      <c r="K4" s="419">
        <f>G4+AV1</f>
        <v>0.59027777777777768</v>
      </c>
      <c r="L4" s="419"/>
      <c r="M4" s="419"/>
      <c r="N4" s="53"/>
      <c r="P4" s="50" t="s">
        <v>17</v>
      </c>
      <c r="Q4" s="51" t="s">
        <v>45</v>
      </c>
      <c r="W4" s="38" t="s">
        <v>9</v>
      </c>
      <c r="Y4" s="51" t="s">
        <v>46</v>
      </c>
      <c r="AG4" s="52"/>
      <c r="BF4" s="406" t="s">
        <v>102</v>
      </c>
      <c r="BG4" s="407"/>
      <c r="BH4" s="407"/>
      <c r="BI4" s="408"/>
    </row>
    <row r="5" spans="1:256" x14ac:dyDescent="0.3">
      <c r="A5" s="38" t="s">
        <v>164</v>
      </c>
      <c r="D5" s="260" t="str">
        <f>VLOOKUP(D4,Wedstrijden!A6:D20,4,0)</f>
        <v>B</v>
      </c>
      <c r="P5" s="50" t="s">
        <v>10</v>
      </c>
      <c r="Q5" s="51" t="s">
        <v>47</v>
      </c>
      <c r="W5" s="38" t="s">
        <v>12</v>
      </c>
      <c r="Y5" s="51" t="s">
        <v>48</v>
      </c>
      <c r="AG5" s="52"/>
      <c r="BF5" s="409"/>
      <c r="BG5" s="410"/>
      <c r="BH5" s="410"/>
      <c r="BI5" s="411"/>
    </row>
    <row r="6" spans="1:256" ht="14.4" thickBot="1" x14ac:dyDescent="0.2">
      <c r="A6" s="38" t="s">
        <v>21</v>
      </c>
      <c r="D6" s="55" t="str">
        <f>Wedstrijden!K2</f>
        <v>Den Bosch</v>
      </c>
      <c r="P6" s="50" t="s">
        <v>11</v>
      </c>
      <c r="Q6" s="51" t="s">
        <v>49</v>
      </c>
      <c r="W6" s="38" t="s">
        <v>13</v>
      </c>
      <c r="Y6" s="51" t="s">
        <v>50</v>
      </c>
      <c r="AG6" s="52"/>
      <c r="AH6" s="354" t="s">
        <v>51</v>
      </c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BF6" s="412"/>
      <c r="BG6" s="413"/>
      <c r="BH6" s="413"/>
      <c r="BI6" s="414"/>
    </row>
    <row r="7" spans="1:256" x14ac:dyDescent="0.2">
      <c r="A7" s="56" t="s">
        <v>52</v>
      </c>
      <c r="B7" s="57"/>
      <c r="C7" s="57"/>
      <c r="D7" s="57"/>
      <c r="E7" s="58" t="s">
        <v>53</v>
      </c>
      <c r="F7" s="57"/>
      <c r="G7" s="59" t="str">
        <f>VLOOKUP(D4,Wedstrijden!A6:L57,5,0)</f>
        <v>VZ&amp;PC Nautilus 1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 t="s">
        <v>54</v>
      </c>
      <c r="X7" s="57"/>
      <c r="Y7" s="57"/>
      <c r="Z7" s="58" t="s">
        <v>55</v>
      </c>
      <c r="AA7" s="58"/>
      <c r="AB7" s="57"/>
      <c r="AC7" s="59" t="str">
        <f>VLOOKUP(D4,Wedstrijden!A6:L57,9,0)</f>
        <v>Gesposs Blauw</v>
      </c>
      <c r="AD7" s="60"/>
      <c r="AE7" s="61"/>
      <c r="AF7" s="61"/>
      <c r="AG7" s="61"/>
      <c r="AH7" s="61"/>
      <c r="AI7" s="61"/>
      <c r="AJ7" s="57"/>
      <c r="AK7" s="57"/>
      <c r="AL7" s="57"/>
      <c r="AM7" s="57"/>
      <c r="AN7" s="57"/>
      <c r="AO7" s="61"/>
      <c r="AP7" s="57"/>
      <c r="AQ7" s="57"/>
      <c r="AR7" s="62"/>
    </row>
    <row r="8" spans="1:256" x14ac:dyDescent="0.3">
      <c r="A8" s="63" t="s">
        <v>56</v>
      </c>
      <c r="B8" s="64"/>
      <c r="C8" s="64"/>
      <c r="D8" s="64"/>
      <c r="E8" s="64"/>
      <c r="F8" s="64"/>
      <c r="G8" s="64"/>
      <c r="H8" s="64"/>
      <c r="I8" s="64"/>
      <c r="J8" s="65" t="str">
        <f>VLOOKUP(D4,Wedstrijden!A6:P343,13,0)</f>
        <v>Gea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 t="s">
        <v>57</v>
      </c>
      <c r="X8" s="64"/>
      <c r="Y8" s="64"/>
      <c r="Z8" s="66" t="str">
        <f>VLOOKUP(D4,Wedstrijden!A6:N170,14,0)</f>
        <v>Dolf</v>
      </c>
      <c r="AA8" s="64"/>
      <c r="AB8" s="64"/>
      <c r="AC8" s="64"/>
      <c r="AD8" s="67"/>
      <c r="AE8" s="68"/>
      <c r="AF8" s="68"/>
      <c r="AG8" s="68"/>
      <c r="AH8" s="68"/>
      <c r="AI8" s="68"/>
      <c r="AJ8" s="69" t="s">
        <v>17</v>
      </c>
      <c r="AK8" s="64"/>
      <c r="AL8" s="64"/>
      <c r="AM8" s="64"/>
      <c r="AN8" s="64"/>
      <c r="AO8" s="68"/>
      <c r="AP8" s="64"/>
      <c r="AQ8" s="64"/>
      <c r="AR8" s="70"/>
    </row>
    <row r="9" spans="1:256" ht="14.4" thickBot="1" x14ac:dyDescent="0.35">
      <c r="A9" s="71" t="s">
        <v>58</v>
      </c>
      <c r="B9" s="72"/>
      <c r="C9" s="72"/>
      <c r="D9" s="72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 t="s">
        <v>59</v>
      </c>
      <c r="X9" s="72"/>
      <c r="Y9" s="72"/>
      <c r="Z9" s="72"/>
      <c r="AA9" s="72"/>
      <c r="AB9" s="73"/>
      <c r="AC9" s="73"/>
      <c r="AD9" s="75"/>
      <c r="AE9" s="76"/>
      <c r="AF9" s="76"/>
      <c r="AG9" s="76"/>
      <c r="AH9" s="76"/>
      <c r="AI9" s="76"/>
      <c r="AJ9" s="73"/>
      <c r="AK9" s="73"/>
      <c r="AL9" s="73"/>
      <c r="AM9" s="73"/>
      <c r="AN9" s="73"/>
      <c r="AO9" s="76"/>
      <c r="AP9" s="73"/>
      <c r="AQ9" s="73"/>
      <c r="AR9" s="77"/>
    </row>
    <row r="10" spans="1:256" ht="15" x14ac:dyDescent="0.3">
      <c r="A10" s="78" t="s">
        <v>60</v>
      </c>
      <c r="B10" s="79"/>
      <c r="C10" s="79"/>
      <c r="D10" s="79"/>
      <c r="E10" s="79"/>
      <c r="F10" s="356" t="str">
        <f>+G7</f>
        <v>VZ&amp;PC Nautilus 1</v>
      </c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7"/>
      <c r="Z10" s="362" t="s">
        <v>8</v>
      </c>
      <c r="AA10" s="363"/>
      <c r="AB10" s="363"/>
      <c r="AC10" s="363"/>
      <c r="AD10" s="364"/>
      <c r="AE10" s="80"/>
      <c r="AF10" s="80"/>
      <c r="AG10" s="80"/>
      <c r="AH10" s="80" t="s">
        <v>61</v>
      </c>
      <c r="AI10" s="80" t="s">
        <v>61</v>
      </c>
      <c r="AJ10" s="371" t="s">
        <v>14</v>
      </c>
      <c r="AK10" s="372"/>
      <c r="AL10" s="377" t="s">
        <v>62</v>
      </c>
      <c r="AM10" s="378"/>
      <c r="AN10" s="383" t="s">
        <v>15</v>
      </c>
      <c r="AO10" s="384"/>
      <c r="AP10" s="384"/>
      <c r="AQ10" s="384"/>
      <c r="AR10" s="385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2" t="s">
        <v>136</v>
      </c>
      <c r="BL10" s="82" t="str">
        <f>CONCATENATE($BL$12&amp;BK10&amp;"x")</f>
        <v>swwx</v>
      </c>
      <c r="BM10" s="82" t="str">
        <f>CONCATENATE($BM$12&amp;BK10&amp;"x")</f>
        <v>dwx</v>
      </c>
      <c r="BN10" s="82" t="str">
        <f>CONCATENATE($BN$12&amp;BK10&amp;"x")</f>
        <v>pwx</v>
      </c>
      <c r="BO10" s="82" t="str">
        <f>CONCATENATE($BO$12&amp;BK10&amp;"x")</f>
        <v>umvwx</v>
      </c>
      <c r="BP10" s="82" t="str">
        <f>CONCATENATE($BP$12&amp;BK10&amp;"x")</f>
        <v>uzvwx</v>
      </c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1" spans="1:256" x14ac:dyDescent="0.3">
      <c r="A11" s="393" t="s">
        <v>7</v>
      </c>
      <c r="B11" s="394"/>
      <c r="C11" s="394"/>
      <c r="D11" s="394"/>
      <c r="E11" s="81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  <c r="Z11" s="365"/>
      <c r="AA11" s="366"/>
      <c r="AB11" s="366"/>
      <c r="AC11" s="366"/>
      <c r="AD11" s="367"/>
      <c r="AE11" s="83" t="s">
        <v>63</v>
      </c>
      <c r="AF11" s="83"/>
      <c r="AG11" s="83"/>
      <c r="AH11" s="83" t="s">
        <v>64</v>
      </c>
      <c r="AI11" s="83" t="s">
        <v>65</v>
      </c>
      <c r="AJ11" s="373"/>
      <c r="AK11" s="374"/>
      <c r="AL11" s="379"/>
      <c r="AM11" s="380"/>
      <c r="AN11" s="386"/>
      <c r="AO11" s="387"/>
      <c r="AP11" s="387"/>
      <c r="AQ11" s="387"/>
      <c r="AR11" s="388"/>
      <c r="AS11" s="81"/>
      <c r="AT11" s="81"/>
      <c r="AU11" s="81" t="s">
        <v>17</v>
      </c>
      <c r="AV11" s="81" t="s">
        <v>18</v>
      </c>
      <c r="AW11" s="81" t="s">
        <v>77</v>
      </c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2" t="s">
        <v>142</v>
      </c>
      <c r="BL11" s="82" t="str">
        <f>CONCATENATE($BL$12&amp;BK11&amp;"x")</f>
        <v>swbx</v>
      </c>
      <c r="BM11" s="82" t="str">
        <f>CONCATENATE($BM$12&amp;BK11&amp;"x")</f>
        <v>dbx</v>
      </c>
      <c r="BN11" s="82" t="str">
        <f>CONCATENATE($BN$12&amp;BK11&amp;"x")</f>
        <v>pbx</v>
      </c>
      <c r="BO11" s="82" t="str">
        <f>CONCATENATE($BO$12&amp;BK11&amp;"x")</f>
        <v>umvbx</v>
      </c>
      <c r="BP11" s="82" t="str">
        <f>CONCATENATE($BP$12&amp;BK11&amp;"x")</f>
        <v>uzvbx</v>
      </c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</row>
    <row r="12" spans="1:256" ht="18" x14ac:dyDescent="0.35">
      <c r="A12" s="395"/>
      <c r="B12" s="396"/>
      <c r="C12" s="396"/>
      <c r="D12" s="394"/>
      <c r="E12" s="81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1"/>
      <c r="Z12" s="368"/>
      <c r="AA12" s="369"/>
      <c r="AB12" s="369"/>
      <c r="AC12" s="369"/>
      <c r="AD12" s="370"/>
      <c r="AE12" s="84" t="s">
        <v>17</v>
      </c>
      <c r="AF12" s="84" t="s">
        <v>10</v>
      </c>
      <c r="AG12" s="84" t="s">
        <v>11</v>
      </c>
      <c r="AH12" s="84" t="s">
        <v>66</v>
      </c>
      <c r="AI12" s="84" t="s">
        <v>66</v>
      </c>
      <c r="AJ12" s="375"/>
      <c r="AK12" s="376"/>
      <c r="AL12" s="381"/>
      <c r="AM12" s="382"/>
      <c r="AN12" s="389" t="s">
        <v>17</v>
      </c>
      <c r="AO12" s="369"/>
      <c r="AP12" s="85"/>
      <c r="AQ12" s="369" t="s">
        <v>18</v>
      </c>
      <c r="AR12" s="390"/>
      <c r="AS12" s="81"/>
      <c r="AT12" s="81"/>
      <c r="AU12" s="81" t="s">
        <v>78</v>
      </c>
      <c r="AV12" s="81" t="s">
        <v>79</v>
      </c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 t="s">
        <v>138</v>
      </c>
      <c r="BM12" s="81" t="s">
        <v>139</v>
      </c>
      <c r="BN12" s="81" t="s">
        <v>79</v>
      </c>
      <c r="BO12" s="81" t="s">
        <v>140</v>
      </c>
      <c r="BP12" s="81" t="s">
        <v>141</v>
      </c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</row>
    <row r="13" spans="1:256" ht="15.6" x14ac:dyDescent="0.3">
      <c r="A13" s="86" t="s">
        <v>0</v>
      </c>
      <c r="B13" s="87" t="s">
        <v>1</v>
      </c>
      <c r="C13" s="88"/>
      <c r="D13" s="89"/>
      <c r="E13" s="88" t="s">
        <v>2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90"/>
      <c r="V13" s="91" t="s">
        <v>3</v>
      </c>
      <c r="W13" s="91" t="s">
        <v>4</v>
      </c>
      <c r="X13" s="91" t="s">
        <v>5</v>
      </c>
      <c r="Y13" s="92" t="s">
        <v>6</v>
      </c>
      <c r="Z13" s="93"/>
      <c r="AA13" s="94">
        <v>3</v>
      </c>
      <c r="AB13" s="95" t="s">
        <v>16</v>
      </c>
      <c r="AC13" s="94">
        <v>0</v>
      </c>
      <c r="AD13" s="96">
        <v>2</v>
      </c>
      <c r="AE13" s="97"/>
      <c r="AF13" s="97"/>
      <c r="AG13" s="98" t="s">
        <v>265</v>
      </c>
      <c r="AH13" s="99"/>
      <c r="AI13" s="99"/>
      <c r="AJ13" s="391" t="s">
        <v>17</v>
      </c>
      <c r="AK13" s="392"/>
      <c r="AL13" s="401">
        <v>3</v>
      </c>
      <c r="AM13" s="402"/>
      <c r="AN13" s="100"/>
      <c r="AO13" s="101">
        <f>IF(BQ13="","",IF(BQ13=$BL$10,"2"+AO1,IF(BQ13=$BM$10,"1"+AO1,IF(BQ13=$BN$10,"0"+AO1,IF(BQ13=$BO$10,"0"+AO1,IF(BQ13=$BP$10,"0"+AO1,"0"+AO1))))))</f>
        <v>1</v>
      </c>
      <c r="AP13" s="95" t="s">
        <v>16</v>
      </c>
      <c r="AQ13" s="102"/>
      <c r="AR13" s="103">
        <f>IF(BQ13="","",IF(BQ13=$BL$11,"2"+AR1,IF(BQ13=$BM$11,"1"+AR1,IF(BQ13=$BN$11,"0"+AR1,IF(BQ13=$BO$11,"0"+AR1,IF(BQ13=$BP$11,"0"+AR1,"0"+AR1))))))</f>
        <v>0</v>
      </c>
      <c r="AY13" s="38" t="str">
        <f>CONCATENATE(AJ13&amp;AL13)</f>
        <v>W3</v>
      </c>
      <c r="AZ13" s="38" t="str">
        <f>IF(AE13=$AW$11,"2","0")</f>
        <v>0</v>
      </c>
      <c r="BA13" s="38" t="str">
        <f>IF(AG13=$AW$11,"1","0")</f>
        <v>1</v>
      </c>
      <c r="BB13" s="38" t="str">
        <f>IF(AF13=$AW$11,"1","0")</f>
        <v>0</v>
      </c>
      <c r="BC13" s="38">
        <f>AZ13+BA13</f>
        <v>1</v>
      </c>
      <c r="BD13" s="38">
        <f>BB13+0</f>
        <v>0</v>
      </c>
      <c r="BL13" s="38" t="str">
        <f>IF(AE13="","",CONCATENATE($BL$12&amp;AJ13&amp;AE13))</f>
        <v/>
      </c>
      <c r="BM13" s="38" t="str">
        <f>IF(AG13="","",CONCATENATE($BM$12&amp;AJ13&amp;AG13))</f>
        <v>dWX</v>
      </c>
      <c r="BN13" s="38" t="str">
        <f>IF(AF13="","",CONCATENATE($BN$12&amp;AJ13,AF13))</f>
        <v/>
      </c>
      <c r="BO13" s="38" t="str">
        <f>IF(AH13="","",CONCATENATE($BO$12&amp;AJ13&amp;AH13))</f>
        <v/>
      </c>
      <c r="BP13" s="38" t="str">
        <f>IF(AI13="","",CONCATENATE($BP$12&amp;AJ13&amp;AI13))</f>
        <v/>
      </c>
      <c r="BQ13" s="38" t="str">
        <f>CONCATENATE(BL13&amp;BM13&amp;BN13&amp;BO13&amp;BP13)</f>
        <v>dWX</v>
      </c>
    </row>
    <row r="14" spans="1:256" ht="15.6" x14ac:dyDescent="0.3">
      <c r="A14" s="104" t="s">
        <v>265</v>
      </c>
      <c r="B14" s="397">
        <f>IF(ISBLANK(HLOOKUP($F$10,spelerslijsten!$B$1:$J$22,4,FALSE)),"",HLOOKUP($F$10,spelerslijsten!$B$1:$J$22,4,FALSE))</f>
        <v>2</v>
      </c>
      <c r="C14" s="398"/>
      <c r="D14" s="105"/>
      <c r="E14" s="106" t="str">
        <f>IF(ISBLANK(HLOOKUP($F$10,spelerslijsten!$B$1:$J$22,3,FALSE)),"",HLOOKUP($F$10,spelerslijsten!$B$1:$J$22,3,FALSE))</f>
        <v>Corne Braken</v>
      </c>
      <c r="F14" s="107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8">
        <f t="shared" ref="V14:V20" si="0">SUMIF($AY$13:$AY$46,AT14,$BC$13:$BC$46)</f>
        <v>0</v>
      </c>
      <c r="W14" s="109" t="str">
        <f>IF(AU14&gt;0,"x","")</f>
        <v/>
      </c>
      <c r="X14" s="110" t="str">
        <f>IF(AU14&gt;1,"x","")</f>
        <v/>
      </c>
      <c r="Y14" s="103" t="str">
        <f>IF(AU14&gt;2,"x","")</f>
        <v/>
      </c>
      <c r="Z14" s="111"/>
      <c r="AA14" s="112">
        <v>4</v>
      </c>
      <c r="AB14" s="113" t="str">
        <f>+AB13</f>
        <v>-</v>
      </c>
      <c r="AC14" s="112">
        <v>0</v>
      </c>
      <c r="AD14" s="114">
        <v>0</v>
      </c>
      <c r="AE14" s="115"/>
      <c r="AF14" s="115"/>
      <c r="AG14" s="116" t="s">
        <v>265</v>
      </c>
      <c r="AH14" s="117"/>
      <c r="AI14" s="117"/>
      <c r="AJ14" s="342" t="s">
        <v>18</v>
      </c>
      <c r="AK14" s="343"/>
      <c r="AL14" s="346">
        <v>10</v>
      </c>
      <c r="AM14" s="347"/>
      <c r="AN14" s="118"/>
      <c r="AO14" s="101">
        <f>IF(BQ14="","",IF(BQ14=$BL$10,"2"+AO13,IF(BQ14=$BM$10,"1"+AO13,IF(BQ14=$BN$10,"0"+AO13,IF(BQ14=$BO$10,"0"+AO13,IF(BQ14=$BP$10,"0"+AO13,"0"+AO13))))))</f>
        <v>1</v>
      </c>
      <c r="AP14" s="113" t="str">
        <f>+AP13</f>
        <v>-</v>
      </c>
      <c r="AQ14" s="119"/>
      <c r="AR14" s="103">
        <f>IF(BQ14="","",IF(BQ14=$BL$11,"2"+AR13,IF(BQ14=$BM$11,"1"+AR13,IF(BQ14=$BN$11,"0"+AR13,IF(BQ14=$BO$11,"0"+AR13,IF(BQ14=$BP$11,"0"+AR13,"0"+AR13))))))</f>
        <v>1</v>
      </c>
      <c r="AT14" s="38" t="str">
        <f>CONCATENATE($AU$11&amp;B14)</f>
        <v>W2</v>
      </c>
      <c r="AU14" s="38">
        <f>SUMIF($AY$13:$AY$46,AT14,$BD$13:$BD$46)</f>
        <v>0</v>
      </c>
      <c r="AY14" s="38" t="str">
        <f t="shared" ref="AY14:AY46" si="1">CONCATENATE(AJ14&amp;AL14)</f>
        <v>B10</v>
      </c>
      <c r="AZ14" s="38" t="str">
        <f t="shared" ref="AZ14:AZ46" si="2">IF(AE14=$AW$11,"2","0")</f>
        <v>0</v>
      </c>
      <c r="BA14" s="38" t="str">
        <f t="shared" ref="BA14:BA46" si="3">IF(AG14=$AW$11,"1","0")</f>
        <v>1</v>
      </c>
      <c r="BB14" s="38" t="str">
        <f t="shared" ref="BB14:BB46" si="4">IF(AF14=$AW$11,"1","0")</f>
        <v>0</v>
      </c>
      <c r="BC14" s="38">
        <f t="shared" ref="BC14:BC46" si="5">AZ14+BA14</f>
        <v>1</v>
      </c>
      <c r="BD14" s="38">
        <f t="shared" ref="BD14:BD46" si="6">BB14+0</f>
        <v>0</v>
      </c>
      <c r="BL14" s="38" t="str">
        <f t="shared" ref="BL14:BL46" si="7">IF(AE14="","",CONCATENATE($BL$12&amp;AJ14&amp;AE14))</f>
        <v/>
      </c>
      <c r="BM14" s="38" t="str">
        <f t="shared" ref="BM14:BM46" si="8">IF(AG14="","",CONCATENATE($BM$12&amp;AJ14&amp;AG14))</f>
        <v>dBX</v>
      </c>
      <c r="BN14" s="38" t="str">
        <f t="shared" ref="BN14:BN46" si="9">IF(AF14="","",CONCATENATE($BN$12&amp;AJ14,AF14))</f>
        <v/>
      </c>
      <c r="BO14" s="38" t="str">
        <f t="shared" ref="BO14:BO46" si="10">IF(AH14="","",CONCATENATE($BO$12&amp;AJ14&amp;AH14))</f>
        <v/>
      </c>
      <c r="BP14" s="38" t="str">
        <f t="shared" ref="BP14:BP46" si="11">IF(AI14="","",CONCATENATE($BP$12&amp;AJ14&amp;AI14))</f>
        <v/>
      </c>
      <c r="BQ14" s="38" t="str">
        <f t="shared" ref="BQ14:BQ46" si="12">CONCATENATE(BL14&amp;BM14&amp;BN14&amp;BO14&amp;BP14)</f>
        <v>dBX</v>
      </c>
    </row>
    <row r="15" spans="1:256" ht="15.6" x14ac:dyDescent="0.3">
      <c r="A15" s="120" t="s">
        <v>265</v>
      </c>
      <c r="B15" s="397">
        <f>IF(ISBLANK(HLOOKUP($F$10,spelerslijsten!$B$1:$J$22,6,FALSE)),"",HLOOKUP($F$10,spelerslijsten!$B$1:$J$22,6,FALSE))</f>
        <v>3</v>
      </c>
      <c r="C15" s="398"/>
      <c r="D15" s="121"/>
      <c r="E15" s="122" t="str">
        <f>IF(ISBLANK(HLOOKUP($F$10,spelerslijsten!$B$1:$J$22,5,FALSE)),"",HLOOKUP($F$10,spelerslijsten!$B$1:$J$22,5,FALSE))</f>
        <v>Kevin Kanters</v>
      </c>
      <c r="F15" s="123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08">
        <f t="shared" si="0"/>
        <v>1</v>
      </c>
      <c r="W15" s="109" t="str">
        <f t="shared" ref="W15:W23" si="13">IF(AU15&gt;0,"x","")</f>
        <v/>
      </c>
      <c r="X15" s="110" t="str">
        <f t="shared" ref="X15:X23" si="14">IF(AU15&gt;1,"x","")</f>
        <v/>
      </c>
      <c r="Y15" s="103" t="str">
        <f t="shared" ref="Y15:Y23" si="15">IF(AU15&gt;2,"x","")</f>
        <v/>
      </c>
      <c r="Z15" s="111"/>
      <c r="AA15" s="112">
        <v>5</v>
      </c>
      <c r="AB15" s="113" t="str">
        <f t="shared" ref="AB15:AB44" si="16">+AB14</f>
        <v>-</v>
      </c>
      <c r="AC15" s="112">
        <v>3</v>
      </c>
      <c r="AD15" s="114">
        <v>9</v>
      </c>
      <c r="AE15" s="115"/>
      <c r="AF15" s="115"/>
      <c r="AG15" s="116" t="s">
        <v>265</v>
      </c>
      <c r="AH15" s="117"/>
      <c r="AI15" s="117"/>
      <c r="AJ15" s="342" t="s">
        <v>18</v>
      </c>
      <c r="AK15" s="343"/>
      <c r="AL15" s="346">
        <v>7</v>
      </c>
      <c r="AM15" s="347"/>
      <c r="AN15" s="118"/>
      <c r="AO15" s="101">
        <f>IF(BQ15="","",IF(BQ15=$BL$10,"2"+AO14,IF(BQ15=$BM$10,"1"+AO14,IF(BQ15=$BN$10,"0"+AO14,IF(BQ15=$BO$10,"0"+AO14,IF(BQ15=$BP$10,"0"+AO14,"0"+AO14))))))</f>
        <v>1</v>
      </c>
      <c r="AP15" s="113" t="str">
        <f>+AP14</f>
        <v>-</v>
      </c>
      <c r="AQ15" s="119"/>
      <c r="AR15" s="103">
        <f>IF(BQ15="","",IF(BQ15=$BL$11,"2"+AR14,IF(BQ15=$BM$11,"1"+AR14,IF(BQ15=$BN$11,"0"+AR14,IF(BQ15=$BO$11,"0"+AR14,IF(BQ15=$BP$11,"0"+AR14,"0"+AR14))))))</f>
        <v>2</v>
      </c>
      <c r="AT15" s="38" t="str">
        <f t="shared" ref="AT15:AT23" si="17">CONCATENATE($AU$11&amp;B15)</f>
        <v>W3</v>
      </c>
      <c r="AU15" s="38">
        <f t="shared" ref="AU15:AU39" si="18">SUMIF($AY$13:$AY$46,AT15,$BD$13:$BD$46)</f>
        <v>0</v>
      </c>
      <c r="AY15" s="38" t="str">
        <f t="shared" si="1"/>
        <v>B7</v>
      </c>
      <c r="AZ15" s="38" t="str">
        <f t="shared" si="2"/>
        <v>0</v>
      </c>
      <c r="BA15" s="38" t="str">
        <f t="shared" si="3"/>
        <v>1</v>
      </c>
      <c r="BB15" s="38" t="str">
        <f t="shared" si="4"/>
        <v>0</v>
      </c>
      <c r="BC15" s="38">
        <f t="shared" si="5"/>
        <v>1</v>
      </c>
      <c r="BD15" s="38">
        <f t="shared" si="6"/>
        <v>0</v>
      </c>
      <c r="BL15" s="38" t="str">
        <f t="shared" si="7"/>
        <v/>
      </c>
      <c r="BM15" s="38" t="str">
        <f t="shared" si="8"/>
        <v>dBX</v>
      </c>
      <c r="BN15" s="38" t="str">
        <f t="shared" si="9"/>
        <v/>
      </c>
      <c r="BO15" s="38" t="str">
        <f t="shared" si="10"/>
        <v/>
      </c>
      <c r="BP15" s="38" t="str">
        <f t="shared" si="11"/>
        <v/>
      </c>
      <c r="BQ15" s="38" t="str">
        <f t="shared" si="12"/>
        <v>dBX</v>
      </c>
    </row>
    <row r="16" spans="1:256" ht="15.6" x14ac:dyDescent="0.3">
      <c r="A16" s="124" t="s">
        <v>265</v>
      </c>
      <c r="B16" s="397">
        <f>IF(ISBLANK(HLOOKUP($F$10,spelerslijsten!$B$1:$J$22,8,FALSE)),"",HLOOKUP($F$10,spelerslijsten!$B$1:$J$22,8,FALSE))</f>
        <v>4</v>
      </c>
      <c r="C16" s="398"/>
      <c r="D16" s="121"/>
      <c r="E16" s="122" t="str">
        <f>IF(ISBLANK(HLOOKUP($F$10,spelerslijsten!$B$1:$J$22,7,FALSE)),"",HLOOKUP($F$10,spelerslijsten!$B$1:$J$22,7,FALSE))</f>
        <v>Monique Schouten</v>
      </c>
      <c r="F16" s="12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08">
        <f t="shared" si="0"/>
        <v>0</v>
      </c>
      <c r="W16" s="109" t="str">
        <f t="shared" si="13"/>
        <v/>
      </c>
      <c r="X16" s="110" t="str">
        <f t="shared" si="14"/>
        <v/>
      </c>
      <c r="Y16" s="103" t="str">
        <f t="shared" si="15"/>
        <v/>
      </c>
      <c r="Z16" s="111"/>
      <c r="AA16" s="112">
        <v>7</v>
      </c>
      <c r="AB16" s="113" t="str">
        <f t="shared" si="16"/>
        <v>-</v>
      </c>
      <c r="AC16" s="112">
        <v>4</v>
      </c>
      <c r="AD16" s="114">
        <v>0</v>
      </c>
      <c r="AE16" s="115"/>
      <c r="AF16" s="115"/>
      <c r="AG16" s="116" t="s">
        <v>265</v>
      </c>
      <c r="AH16" s="117"/>
      <c r="AI16" s="117"/>
      <c r="AJ16" s="342" t="s">
        <v>18</v>
      </c>
      <c r="AK16" s="343"/>
      <c r="AL16" s="346">
        <v>8</v>
      </c>
      <c r="AM16" s="347"/>
      <c r="AN16" s="118"/>
      <c r="AO16" s="101">
        <f t="shared" ref="AO16:AO46" si="19">IF(BQ16="","",IF(BQ16=$BL$10,"2"+AO15,IF(BQ16=$BM$10,"1"+AO15,IF(BQ16=$BN$10,"0"+AO15,IF(BQ16=$BO$10,"0"+AO15,IF(BQ16=$BP$10,"0"+AO15,"0"+AO15))))))</f>
        <v>1</v>
      </c>
      <c r="AP16" s="113" t="str">
        <f t="shared" ref="AP16:AP46" si="20">+AP15</f>
        <v>-</v>
      </c>
      <c r="AQ16" s="119"/>
      <c r="AR16" s="103">
        <f t="shared" ref="AR16:AR46" si="21">IF(BQ16="","",IF(BQ16=$BL$11,"2"+AR15,IF(BQ16=$BM$11,"1"+AR15,IF(BQ16=$BN$11,"0"+AR15,IF(BQ16=$BO$11,"0"+AR15,IF(BQ16=$BP$11,"0"+AR15,"0"+AR15))))))</f>
        <v>3</v>
      </c>
      <c r="AT16" s="38" t="str">
        <f t="shared" si="17"/>
        <v>W4</v>
      </c>
      <c r="AU16" s="38">
        <f t="shared" si="18"/>
        <v>0</v>
      </c>
      <c r="AY16" s="38" t="str">
        <f t="shared" si="1"/>
        <v>B8</v>
      </c>
      <c r="AZ16" s="38" t="str">
        <f t="shared" si="2"/>
        <v>0</v>
      </c>
      <c r="BA16" s="38" t="str">
        <f t="shared" si="3"/>
        <v>1</v>
      </c>
      <c r="BB16" s="38" t="str">
        <f t="shared" si="4"/>
        <v>0</v>
      </c>
      <c r="BC16" s="38">
        <f t="shared" si="5"/>
        <v>1</v>
      </c>
      <c r="BD16" s="38">
        <f t="shared" si="6"/>
        <v>0</v>
      </c>
      <c r="BL16" s="38" t="str">
        <f t="shared" si="7"/>
        <v/>
      </c>
      <c r="BM16" s="38" t="str">
        <f t="shared" si="8"/>
        <v>dBX</v>
      </c>
      <c r="BN16" s="38" t="str">
        <f t="shared" si="9"/>
        <v/>
      </c>
      <c r="BO16" s="38" t="str">
        <f t="shared" si="10"/>
        <v/>
      </c>
      <c r="BP16" s="38" t="str">
        <f t="shared" si="11"/>
        <v/>
      </c>
      <c r="BQ16" s="38" t="str">
        <f t="shared" si="12"/>
        <v>dBX</v>
      </c>
    </row>
    <row r="17" spans="1:69" ht="15.6" x14ac:dyDescent="0.3">
      <c r="A17" s="124" t="s">
        <v>265</v>
      </c>
      <c r="B17" s="397">
        <f>IF(ISBLANK(HLOOKUP($F$10,spelerslijsten!$B$1:$J$22,10,FALSE)),"",HLOOKUP($F$10,spelerslijsten!$B$1:$J$22,10,FALSE))</f>
        <v>5</v>
      </c>
      <c r="C17" s="398"/>
      <c r="D17" s="121"/>
      <c r="E17" s="122" t="str">
        <f>IF(ISBLANK(HLOOKUP($F$10,spelerslijsten!$B$1:$J$22,9,FALSE)),"",HLOOKUP($F$10,spelerslijsten!$B$1:$J$22,9,FALSE))</f>
        <v>Miranda van Schaijk</v>
      </c>
      <c r="F17" s="12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08">
        <f t="shared" si="0"/>
        <v>0</v>
      </c>
      <c r="W17" s="109" t="str">
        <f t="shared" si="13"/>
        <v/>
      </c>
      <c r="X17" s="110" t="str">
        <f t="shared" si="14"/>
        <v/>
      </c>
      <c r="Y17" s="103" t="str">
        <f t="shared" si="15"/>
        <v/>
      </c>
      <c r="Z17" s="111">
        <v>1</v>
      </c>
      <c r="AA17" s="112">
        <v>1</v>
      </c>
      <c r="AB17" s="113" t="str">
        <f t="shared" si="16"/>
        <v>-</v>
      </c>
      <c r="AC17" s="112">
        <v>1</v>
      </c>
      <c r="AD17" s="114">
        <v>6</v>
      </c>
      <c r="AE17" s="115"/>
      <c r="AF17" s="115"/>
      <c r="AG17" s="116" t="s">
        <v>265</v>
      </c>
      <c r="AH17" s="117"/>
      <c r="AI17" s="117"/>
      <c r="AJ17" s="342" t="s">
        <v>18</v>
      </c>
      <c r="AK17" s="343"/>
      <c r="AL17" s="346">
        <v>8</v>
      </c>
      <c r="AM17" s="347"/>
      <c r="AN17" s="118"/>
      <c r="AO17" s="101">
        <f t="shared" si="19"/>
        <v>1</v>
      </c>
      <c r="AP17" s="113" t="str">
        <f t="shared" si="20"/>
        <v>-</v>
      </c>
      <c r="AQ17" s="119"/>
      <c r="AR17" s="103">
        <f t="shared" si="21"/>
        <v>4</v>
      </c>
      <c r="AT17" s="38" t="str">
        <f t="shared" si="17"/>
        <v>W5</v>
      </c>
      <c r="AU17" s="38">
        <f t="shared" si="18"/>
        <v>0</v>
      </c>
      <c r="AY17" s="38" t="str">
        <f t="shared" si="1"/>
        <v>B8</v>
      </c>
      <c r="AZ17" s="38" t="str">
        <f t="shared" si="2"/>
        <v>0</v>
      </c>
      <c r="BA17" s="38" t="str">
        <f t="shared" si="3"/>
        <v>1</v>
      </c>
      <c r="BB17" s="38" t="str">
        <f t="shared" si="4"/>
        <v>0</v>
      </c>
      <c r="BC17" s="38">
        <f t="shared" si="5"/>
        <v>1</v>
      </c>
      <c r="BD17" s="38">
        <f t="shared" si="6"/>
        <v>0</v>
      </c>
      <c r="BL17" s="38" t="str">
        <f t="shared" si="7"/>
        <v/>
      </c>
      <c r="BM17" s="38" t="str">
        <f t="shared" si="8"/>
        <v>dBX</v>
      </c>
      <c r="BN17" s="38" t="str">
        <f t="shared" si="9"/>
        <v/>
      </c>
      <c r="BO17" s="38" t="str">
        <f t="shared" si="10"/>
        <v/>
      </c>
      <c r="BP17" s="38" t="str">
        <f t="shared" si="11"/>
        <v/>
      </c>
      <c r="BQ17" s="38" t="str">
        <f t="shared" si="12"/>
        <v>dBX</v>
      </c>
    </row>
    <row r="18" spans="1:69" ht="15.6" x14ac:dyDescent="0.3">
      <c r="A18" s="124" t="s">
        <v>265</v>
      </c>
      <c r="B18" s="397">
        <f>IF(ISBLANK(HLOOKUP($F$10,spelerslijsten!$B$1:$J$22,12,FALSE)),"",HLOOKUP($F$10,spelerslijsten!$B$1:$J$22,12,FALSE))</f>
        <v>6</v>
      </c>
      <c r="C18" s="398"/>
      <c r="D18" s="121"/>
      <c r="E18" s="122" t="str">
        <f>IF(ISBLANK(HLOOKUP($F$10,spelerslijsten!$B$1:$J$22,11,FALSE)),"",HLOOKUP($F$10,spelerslijsten!$B$1:$J$22,11,FALSE))</f>
        <v>Jan Zegers</v>
      </c>
      <c r="F18" s="12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08">
        <f t="shared" si="0"/>
        <v>0</v>
      </c>
      <c r="W18" s="109" t="str">
        <f t="shared" si="13"/>
        <v/>
      </c>
      <c r="X18" s="110" t="str">
        <f t="shared" si="14"/>
        <v/>
      </c>
      <c r="Y18" s="103" t="str">
        <f t="shared" si="15"/>
        <v/>
      </c>
      <c r="Z18" s="111">
        <v>1</v>
      </c>
      <c r="AA18" s="112">
        <v>3</v>
      </c>
      <c r="AB18" s="113" t="s">
        <v>16</v>
      </c>
      <c r="AC18" s="112">
        <v>5</v>
      </c>
      <c r="AD18" s="114">
        <v>7</v>
      </c>
      <c r="AE18" s="115"/>
      <c r="AF18" s="115"/>
      <c r="AG18" s="116" t="s">
        <v>265</v>
      </c>
      <c r="AH18" s="117"/>
      <c r="AI18" s="117"/>
      <c r="AJ18" s="342" t="s">
        <v>18</v>
      </c>
      <c r="AK18" s="343"/>
      <c r="AL18" s="346">
        <v>8</v>
      </c>
      <c r="AM18" s="347"/>
      <c r="AN18" s="118"/>
      <c r="AO18" s="101">
        <f t="shared" si="19"/>
        <v>1</v>
      </c>
      <c r="AP18" s="113" t="str">
        <f t="shared" si="20"/>
        <v>-</v>
      </c>
      <c r="AQ18" s="119"/>
      <c r="AR18" s="103">
        <f t="shared" si="21"/>
        <v>5</v>
      </c>
      <c r="AT18" s="38" t="str">
        <f t="shared" si="17"/>
        <v>W6</v>
      </c>
      <c r="AU18" s="38">
        <f t="shared" si="18"/>
        <v>0</v>
      </c>
      <c r="AY18" s="38" t="str">
        <f t="shared" si="1"/>
        <v>B8</v>
      </c>
      <c r="AZ18" s="38" t="str">
        <f t="shared" si="2"/>
        <v>0</v>
      </c>
      <c r="BA18" s="38" t="str">
        <f t="shared" si="3"/>
        <v>1</v>
      </c>
      <c r="BB18" s="38" t="str">
        <f t="shared" si="4"/>
        <v>0</v>
      </c>
      <c r="BC18" s="38">
        <f t="shared" si="5"/>
        <v>1</v>
      </c>
      <c r="BD18" s="38">
        <f t="shared" si="6"/>
        <v>0</v>
      </c>
      <c r="BL18" s="38" t="str">
        <f t="shared" si="7"/>
        <v/>
      </c>
      <c r="BM18" s="38" t="str">
        <f t="shared" si="8"/>
        <v>dBX</v>
      </c>
      <c r="BN18" s="38" t="str">
        <f t="shared" si="9"/>
        <v/>
      </c>
      <c r="BO18" s="38" t="str">
        <f t="shared" si="10"/>
        <v/>
      </c>
      <c r="BP18" s="38" t="str">
        <f t="shared" si="11"/>
        <v/>
      </c>
      <c r="BQ18" s="38" t="str">
        <f t="shared" si="12"/>
        <v>dBX</v>
      </c>
    </row>
    <row r="19" spans="1:69" ht="15.6" x14ac:dyDescent="0.3">
      <c r="A19" s="124" t="s">
        <v>265</v>
      </c>
      <c r="B19" s="397">
        <f>IF(ISBLANK(HLOOKUP($F$10,spelerslijsten!$B$1:$J$22,14,FALSE)),"",HLOOKUP($F$10,spelerslijsten!$B$1:$J$22,14,FALSE))</f>
        <v>9</v>
      </c>
      <c r="C19" s="398"/>
      <c r="D19" s="121"/>
      <c r="E19" s="122" t="str">
        <f>IF(ISBLANK(HLOOKUP($F$10,spelerslijsten!$B$1:$J$22,13,FALSE)),"",HLOOKUP($F$10,spelerslijsten!$B$1:$J$22,13,FALSE))</f>
        <v>Christian Gibbels</v>
      </c>
      <c r="F19" s="12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08">
        <f t="shared" si="0"/>
        <v>0</v>
      </c>
      <c r="W19" s="109" t="str">
        <f t="shared" si="13"/>
        <v/>
      </c>
      <c r="X19" s="110" t="str">
        <f t="shared" si="14"/>
        <v/>
      </c>
      <c r="Y19" s="103" t="str">
        <f t="shared" si="15"/>
        <v/>
      </c>
      <c r="Z19" s="111"/>
      <c r="AA19" s="112"/>
      <c r="AB19" s="113" t="str">
        <f t="shared" si="16"/>
        <v>-</v>
      </c>
      <c r="AC19" s="112"/>
      <c r="AD19" s="114"/>
      <c r="AE19" s="115"/>
      <c r="AF19" s="115"/>
      <c r="AG19" s="116"/>
      <c r="AH19" s="117"/>
      <c r="AI19" s="117"/>
      <c r="AJ19" s="342"/>
      <c r="AK19" s="343"/>
      <c r="AL19" s="346"/>
      <c r="AM19" s="347"/>
      <c r="AN19" s="118"/>
      <c r="AO19" s="101" t="str">
        <f t="shared" si="19"/>
        <v/>
      </c>
      <c r="AP19" s="113" t="str">
        <f t="shared" si="20"/>
        <v>-</v>
      </c>
      <c r="AQ19" s="119"/>
      <c r="AR19" s="103" t="str">
        <f t="shared" si="21"/>
        <v/>
      </c>
      <c r="AT19" s="38" t="str">
        <f t="shared" si="17"/>
        <v>W9</v>
      </c>
      <c r="AU19" s="38">
        <f t="shared" si="18"/>
        <v>0</v>
      </c>
      <c r="AY19" s="38" t="str">
        <f t="shared" si="1"/>
        <v/>
      </c>
      <c r="AZ19" s="38" t="str">
        <f t="shared" si="2"/>
        <v>0</v>
      </c>
      <c r="BA19" s="38" t="str">
        <f t="shared" si="3"/>
        <v>0</v>
      </c>
      <c r="BB19" s="38" t="str">
        <f t="shared" si="4"/>
        <v>0</v>
      </c>
      <c r="BC19" s="38">
        <f t="shared" si="5"/>
        <v>0</v>
      </c>
      <c r="BD19" s="38">
        <f t="shared" si="6"/>
        <v>0</v>
      </c>
      <c r="BL19" s="38" t="str">
        <f t="shared" si="7"/>
        <v/>
      </c>
      <c r="BM19" s="38" t="str">
        <f t="shared" si="8"/>
        <v/>
      </c>
      <c r="BN19" s="38" t="str">
        <f t="shared" si="9"/>
        <v/>
      </c>
      <c r="BO19" s="38" t="str">
        <f t="shared" si="10"/>
        <v/>
      </c>
      <c r="BP19" s="38" t="str">
        <f t="shared" si="11"/>
        <v/>
      </c>
      <c r="BQ19" s="38" t="str">
        <f t="shared" si="12"/>
        <v/>
      </c>
    </row>
    <row r="20" spans="1:69" ht="15.6" x14ac:dyDescent="0.3">
      <c r="A20" s="124" t="s">
        <v>265</v>
      </c>
      <c r="B20" s="397">
        <f>IF(ISBLANK(HLOOKUP($F$10,spelerslijsten!$B$1:$J$22,16,FALSE)),"",HLOOKUP($F$10,spelerslijsten!$B$1:$J$22,16,FALSE))</f>
        <v>10</v>
      </c>
      <c r="C20" s="398"/>
      <c r="D20" s="121"/>
      <c r="E20" s="122" t="str">
        <f>IF(ISBLANK(HLOOKUP($F$10,spelerslijsten!$B$1:$J$22,15,FALSE)),"",HLOOKUP($F$10,spelerslijsten!$B$1:$J$22,15,FALSE))</f>
        <v>Stefan van der Wielen</v>
      </c>
      <c r="F20" s="12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08">
        <f t="shared" si="0"/>
        <v>0</v>
      </c>
      <c r="W20" s="109" t="str">
        <f t="shared" si="13"/>
        <v/>
      </c>
      <c r="X20" s="110" t="str">
        <f t="shared" si="14"/>
        <v/>
      </c>
      <c r="Y20" s="103" t="str">
        <f t="shared" si="15"/>
        <v/>
      </c>
      <c r="Z20" s="111"/>
      <c r="AA20" s="112"/>
      <c r="AB20" s="113" t="str">
        <f t="shared" si="16"/>
        <v>-</v>
      </c>
      <c r="AC20" s="112"/>
      <c r="AD20" s="114"/>
      <c r="AE20" s="115"/>
      <c r="AF20" s="115"/>
      <c r="AG20" s="116"/>
      <c r="AH20" s="117"/>
      <c r="AI20" s="117"/>
      <c r="AJ20" s="342"/>
      <c r="AK20" s="343"/>
      <c r="AL20" s="346"/>
      <c r="AM20" s="347"/>
      <c r="AN20" s="118"/>
      <c r="AO20" s="101" t="str">
        <f t="shared" si="19"/>
        <v/>
      </c>
      <c r="AP20" s="113" t="str">
        <f t="shared" si="20"/>
        <v>-</v>
      </c>
      <c r="AQ20" s="119"/>
      <c r="AR20" s="103" t="str">
        <f t="shared" si="21"/>
        <v/>
      </c>
      <c r="AT20" s="38" t="str">
        <f t="shared" si="17"/>
        <v>W10</v>
      </c>
      <c r="AU20" s="38">
        <f t="shared" si="18"/>
        <v>0</v>
      </c>
      <c r="AY20" s="38" t="str">
        <f t="shared" si="1"/>
        <v/>
      </c>
      <c r="AZ20" s="38" t="str">
        <f t="shared" si="2"/>
        <v>0</v>
      </c>
      <c r="BA20" s="38" t="str">
        <f t="shared" si="3"/>
        <v>0</v>
      </c>
      <c r="BB20" s="38" t="str">
        <f t="shared" si="4"/>
        <v>0</v>
      </c>
      <c r="BC20" s="38">
        <f t="shared" si="5"/>
        <v>0</v>
      </c>
      <c r="BD20" s="38">
        <f t="shared" si="6"/>
        <v>0</v>
      </c>
      <c r="BL20" s="38" t="str">
        <f t="shared" si="7"/>
        <v/>
      </c>
      <c r="BM20" s="38" t="str">
        <f t="shared" si="8"/>
        <v/>
      </c>
      <c r="BN20" s="38" t="str">
        <f t="shared" si="9"/>
        <v/>
      </c>
      <c r="BO20" s="38" t="str">
        <f t="shared" si="10"/>
        <v/>
      </c>
      <c r="BP20" s="38" t="str">
        <f t="shared" si="11"/>
        <v/>
      </c>
      <c r="BQ20" s="38" t="str">
        <f t="shared" si="12"/>
        <v/>
      </c>
    </row>
    <row r="21" spans="1:69" ht="15.6" x14ac:dyDescent="0.3">
      <c r="A21" s="124"/>
      <c r="B21" s="397" t="str">
        <f>IF(ISBLANK(HLOOKUP($F$10,spelerslijsten!$B$1:$J$22,18,FALSE)),"",HLOOKUP($F$10,spelerslijsten!$B$1:$J$22,18,FALSE))</f>
        <v/>
      </c>
      <c r="C21" s="398"/>
      <c r="D21" s="121"/>
      <c r="E21" s="122" t="str">
        <f>IF(ISBLANK(HLOOKUP($F$10,spelerslijsten!$B$1:$J$22,17,FALSE)),"",HLOOKUP($F$10,spelerslijsten!$B$1:$J$22,17,FALSE))</f>
        <v/>
      </c>
      <c r="F21" s="12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08">
        <f>SUMIF($AY$13:$AY$46,AT21,$BC$13:$BC$46)</f>
        <v>0</v>
      </c>
      <c r="W21" s="109" t="str">
        <f t="shared" si="13"/>
        <v/>
      </c>
      <c r="X21" s="110" t="str">
        <f t="shared" si="14"/>
        <v/>
      </c>
      <c r="Y21" s="103" t="str">
        <f t="shared" si="15"/>
        <v/>
      </c>
      <c r="Z21" s="111"/>
      <c r="AA21" s="112"/>
      <c r="AB21" s="113" t="str">
        <f t="shared" si="16"/>
        <v>-</v>
      </c>
      <c r="AC21" s="112"/>
      <c r="AD21" s="114"/>
      <c r="AE21" s="115"/>
      <c r="AF21" s="115"/>
      <c r="AG21" s="116"/>
      <c r="AH21" s="117"/>
      <c r="AI21" s="117"/>
      <c r="AJ21" s="342"/>
      <c r="AK21" s="343"/>
      <c r="AL21" s="346"/>
      <c r="AM21" s="347"/>
      <c r="AN21" s="118"/>
      <c r="AO21" s="101" t="str">
        <f t="shared" si="19"/>
        <v/>
      </c>
      <c r="AP21" s="113" t="str">
        <f t="shared" si="20"/>
        <v>-</v>
      </c>
      <c r="AQ21" s="119"/>
      <c r="AR21" s="103" t="str">
        <f t="shared" si="21"/>
        <v/>
      </c>
      <c r="AT21" s="38" t="str">
        <f t="shared" si="17"/>
        <v>W</v>
      </c>
      <c r="AU21" s="38">
        <f t="shared" si="18"/>
        <v>0</v>
      </c>
      <c r="AY21" s="38" t="str">
        <f t="shared" si="1"/>
        <v/>
      </c>
      <c r="AZ21" s="38" t="str">
        <f t="shared" si="2"/>
        <v>0</v>
      </c>
      <c r="BA21" s="38" t="str">
        <f t="shared" si="3"/>
        <v>0</v>
      </c>
      <c r="BB21" s="38" t="str">
        <f t="shared" si="4"/>
        <v>0</v>
      </c>
      <c r="BC21" s="38">
        <f t="shared" si="5"/>
        <v>0</v>
      </c>
      <c r="BD21" s="38">
        <f t="shared" si="6"/>
        <v>0</v>
      </c>
      <c r="BL21" s="38" t="str">
        <f t="shared" si="7"/>
        <v/>
      </c>
      <c r="BM21" s="38" t="str">
        <f t="shared" si="8"/>
        <v/>
      </c>
      <c r="BN21" s="38" t="str">
        <f t="shared" si="9"/>
        <v/>
      </c>
      <c r="BO21" s="38" t="str">
        <f t="shared" si="10"/>
        <v/>
      </c>
      <c r="BP21" s="38" t="str">
        <f t="shared" si="11"/>
        <v/>
      </c>
      <c r="BQ21" s="38" t="str">
        <f t="shared" si="12"/>
        <v/>
      </c>
    </row>
    <row r="22" spans="1:69" ht="15.6" x14ac:dyDescent="0.3">
      <c r="A22" s="124"/>
      <c r="B22" s="397" t="str">
        <f>IF(ISBLANK(HLOOKUP($F$10,spelerslijsten!$B$1:$J$22,20,FALSE)),"",HLOOKUP($F$10,spelerslijsten!$B$1:$J$22,20,FALSE))</f>
        <v/>
      </c>
      <c r="C22" s="398"/>
      <c r="D22" s="121"/>
      <c r="E22" s="122" t="str">
        <f>IF(ISBLANK(HLOOKUP($F$10,spelerslijsten!$B$1:$J$22,19,FALSE)),"",HLOOKUP($F$10,spelerslijsten!$B$1:$J$22,19,FALSE))</f>
        <v/>
      </c>
      <c r="F22" s="12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08">
        <f t="shared" ref="V22:V23" si="22">SUMIF($AY$13:$AY$46,AT22,$BC$13:$BC$46)</f>
        <v>0</v>
      </c>
      <c r="W22" s="109" t="str">
        <f t="shared" si="13"/>
        <v/>
      </c>
      <c r="X22" s="110" t="str">
        <f t="shared" si="14"/>
        <v/>
      </c>
      <c r="Y22" s="103" t="str">
        <f t="shared" si="15"/>
        <v/>
      </c>
      <c r="Z22" s="111"/>
      <c r="AA22" s="112"/>
      <c r="AB22" s="113" t="str">
        <f t="shared" si="16"/>
        <v>-</v>
      </c>
      <c r="AC22" s="112"/>
      <c r="AD22" s="114"/>
      <c r="AE22" s="115"/>
      <c r="AF22" s="115"/>
      <c r="AG22" s="116"/>
      <c r="AH22" s="117"/>
      <c r="AI22" s="117"/>
      <c r="AJ22" s="342"/>
      <c r="AK22" s="343"/>
      <c r="AL22" s="346"/>
      <c r="AM22" s="347"/>
      <c r="AN22" s="118"/>
      <c r="AO22" s="101" t="str">
        <f t="shared" si="19"/>
        <v/>
      </c>
      <c r="AP22" s="113" t="str">
        <f t="shared" si="20"/>
        <v>-</v>
      </c>
      <c r="AQ22" s="119"/>
      <c r="AR22" s="103" t="str">
        <f t="shared" si="21"/>
        <v/>
      </c>
      <c r="AT22" s="38" t="str">
        <f t="shared" si="17"/>
        <v>W</v>
      </c>
      <c r="AU22" s="38">
        <f t="shared" si="18"/>
        <v>0</v>
      </c>
      <c r="AY22" s="38" t="str">
        <f t="shared" si="1"/>
        <v/>
      </c>
      <c r="AZ22" s="38" t="str">
        <f t="shared" si="2"/>
        <v>0</v>
      </c>
      <c r="BA22" s="38" t="str">
        <f t="shared" si="3"/>
        <v>0</v>
      </c>
      <c r="BB22" s="38" t="str">
        <f t="shared" si="4"/>
        <v>0</v>
      </c>
      <c r="BC22" s="38">
        <f t="shared" si="5"/>
        <v>0</v>
      </c>
      <c r="BD22" s="38">
        <f t="shared" si="6"/>
        <v>0</v>
      </c>
      <c r="BL22" s="38" t="str">
        <f t="shared" si="7"/>
        <v/>
      </c>
      <c r="BM22" s="38" t="str">
        <f t="shared" si="8"/>
        <v/>
      </c>
      <c r="BN22" s="38" t="str">
        <f t="shared" si="9"/>
        <v/>
      </c>
      <c r="BO22" s="38" t="str">
        <f t="shared" si="10"/>
        <v/>
      </c>
      <c r="BP22" s="38" t="str">
        <f t="shared" si="11"/>
        <v/>
      </c>
      <c r="BQ22" s="38" t="str">
        <f t="shared" si="12"/>
        <v/>
      </c>
    </row>
    <row r="23" spans="1:69" ht="15.6" x14ac:dyDescent="0.3">
      <c r="A23" s="125"/>
      <c r="B23" s="397" t="str">
        <f>IF(ISBLANK(HLOOKUP($F$10,spelerslijsten!$B$1:$J$22,22,FALSE)),"",HLOOKUP($F$10,spelerslijsten!$B$1:$J$22,22,FALSE))</f>
        <v/>
      </c>
      <c r="C23" s="398"/>
      <c r="D23" s="126"/>
      <c r="E23" s="259" t="str">
        <f>IF(ISBLANK(HLOOKUP($F$10,spelerslijsten!$B$1:$J$22,21,FALSE)),"",HLOOKUP($F$10,spelerslijsten!$B$1:$J$22,21,FALSE))</f>
        <v/>
      </c>
      <c r="F23" s="126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08">
        <f t="shared" si="22"/>
        <v>0</v>
      </c>
      <c r="W23" s="109" t="str">
        <f t="shared" si="13"/>
        <v/>
      </c>
      <c r="X23" s="110" t="str">
        <f t="shared" si="14"/>
        <v/>
      </c>
      <c r="Y23" s="103" t="str">
        <f t="shared" si="15"/>
        <v/>
      </c>
      <c r="Z23" s="111"/>
      <c r="AA23" s="112"/>
      <c r="AB23" s="113" t="str">
        <f t="shared" si="16"/>
        <v>-</v>
      </c>
      <c r="AC23" s="112"/>
      <c r="AD23" s="114"/>
      <c r="AE23" s="115"/>
      <c r="AF23" s="115"/>
      <c r="AG23" s="116"/>
      <c r="AH23" s="117"/>
      <c r="AI23" s="117"/>
      <c r="AJ23" s="342"/>
      <c r="AK23" s="343"/>
      <c r="AL23" s="346"/>
      <c r="AM23" s="347"/>
      <c r="AN23" s="118"/>
      <c r="AO23" s="101" t="str">
        <f t="shared" si="19"/>
        <v/>
      </c>
      <c r="AP23" s="113" t="str">
        <f t="shared" si="20"/>
        <v>-</v>
      </c>
      <c r="AQ23" s="119"/>
      <c r="AR23" s="103" t="str">
        <f t="shared" si="21"/>
        <v/>
      </c>
      <c r="AT23" s="38" t="str">
        <f t="shared" si="17"/>
        <v>W</v>
      </c>
      <c r="AU23" s="38">
        <f t="shared" si="18"/>
        <v>0</v>
      </c>
      <c r="AY23" s="38" t="str">
        <f t="shared" si="1"/>
        <v/>
      </c>
      <c r="AZ23" s="38" t="str">
        <f t="shared" si="2"/>
        <v>0</v>
      </c>
      <c r="BA23" s="38" t="str">
        <f t="shared" si="3"/>
        <v>0</v>
      </c>
      <c r="BB23" s="38" t="str">
        <f t="shared" si="4"/>
        <v>0</v>
      </c>
      <c r="BC23" s="38">
        <f t="shared" si="5"/>
        <v>0</v>
      </c>
      <c r="BD23" s="38">
        <f t="shared" si="6"/>
        <v>0</v>
      </c>
      <c r="BL23" s="38" t="str">
        <f t="shared" si="7"/>
        <v/>
      </c>
      <c r="BM23" s="38" t="str">
        <f t="shared" si="8"/>
        <v/>
      </c>
      <c r="BN23" s="38" t="str">
        <f t="shared" si="9"/>
        <v/>
      </c>
      <c r="BO23" s="38" t="str">
        <f t="shared" si="10"/>
        <v/>
      </c>
      <c r="BP23" s="38" t="str">
        <f t="shared" si="11"/>
        <v/>
      </c>
      <c r="BQ23" s="38" t="str">
        <f t="shared" si="12"/>
        <v/>
      </c>
    </row>
    <row r="24" spans="1:69" ht="16.2" thickBot="1" x14ac:dyDescent="0.35">
      <c r="A24" s="71" t="s">
        <v>67</v>
      </c>
      <c r="B24" s="72"/>
      <c r="C24" s="72"/>
      <c r="D24" s="72"/>
      <c r="E24" s="72"/>
      <c r="F24" s="72"/>
      <c r="G24" s="72"/>
      <c r="I24" s="399">
        <f>HLOOKUP(F10,spelerslijsten!B1:J25,25,FALSE)</f>
        <v>2</v>
      </c>
      <c r="J24" s="400"/>
      <c r="K24" s="74" t="s">
        <v>23</v>
      </c>
      <c r="L24" s="72"/>
      <c r="M24" s="72"/>
      <c r="N24" s="129" t="str">
        <f>HLOOKUP(F10,spelerslijsten!B1:J25,23,FALSE)</f>
        <v>Mieke Reijnders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30"/>
      <c r="Z24" s="131"/>
      <c r="AA24" s="132"/>
      <c r="AB24" s="133" t="str">
        <f t="shared" si="16"/>
        <v>-</v>
      </c>
      <c r="AC24" s="132"/>
      <c r="AD24" s="134"/>
      <c r="AE24" s="135"/>
      <c r="AF24" s="135"/>
      <c r="AG24" s="136"/>
      <c r="AH24" s="137"/>
      <c r="AI24" s="137"/>
      <c r="AJ24" s="342"/>
      <c r="AK24" s="343"/>
      <c r="AL24" s="350"/>
      <c r="AM24" s="351"/>
      <c r="AN24" s="138"/>
      <c r="AO24" s="101" t="str">
        <f t="shared" si="19"/>
        <v/>
      </c>
      <c r="AP24" s="113" t="str">
        <f t="shared" si="20"/>
        <v>-</v>
      </c>
      <c r="AQ24" s="119"/>
      <c r="AR24" s="103" t="str">
        <f t="shared" si="21"/>
        <v/>
      </c>
      <c r="AY24" s="38" t="str">
        <f t="shared" si="1"/>
        <v/>
      </c>
      <c r="AZ24" s="38" t="str">
        <f t="shared" si="2"/>
        <v>0</v>
      </c>
      <c r="BA24" s="38" t="str">
        <f t="shared" si="3"/>
        <v>0</v>
      </c>
      <c r="BB24" s="38" t="str">
        <f t="shared" si="4"/>
        <v>0</v>
      </c>
      <c r="BC24" s="38">
        <f t="shared" si="5"/>
        <v>0</v>
      </c>
      <c r="BD24" s="38">
        <f t="shared" si="6"/>
        <v>0</v>
      </c>
      <c r="BL24" s="38" t="str">
        <f t="shared" si="7"/>
        <v/>
      </c>
      <c r="BM24" s="38" t="str">
        <f t="shared" si="8"/>
        <v/>
      </c>
      <c r="BN24" s="38" t="str">
        <f t="shared" si="9"/>
        <v/>
      </c>
      <c r="BO24" s="38" t="str">
        <f t="shared" si="10"/>
        <v/>
      </c>
      <c r="BP24" s="38" t="str">
        <f t="shared" si="11"/>
        <v/>
      </c>
      <c r="BQ24" s="38" t="str">
        <f t="shared" si="12"/>
        <v/>
      </c>
    </row>
    <row r="25" spans="1:69" ht="15" customHeight="1" x14ac:dyDescent="0.3">
      <c r="A25" s="78" t="s">
        <v>60</v>
      </c>
      <c r="B25" s="79"/>
      <c r="C25" s="79"/>
      <c r="D25" s="79"/>
      <c r="E25" s="79"/>
      <c r="F25" s="356" t="str">
        <f>+AC7</f>
        <v>Gesposs Blauw</v>
      </c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7"/>
      <c r="Z25" s="139"/>
      <c r="AA25" s="140"/>
      <c r="AB25" s="141" t="str">
        <f t="shared" si="16"/>
        <v>-</v>
      </c>
      <c r="AC25" s="140"/>
      <c r="AD25" s="142"/>
      <c r="AE25" s="143"/>
      <c r="AF25" s="143"/>
      <c r="AG25" s="144"/>
      <c r="AH25" s="145"/>
      <c r="AI25" s="145"/>
      <c r="AJ25" s="342"/>
      <c r="AK25" s="343"/>
      <c r="AL25" s="346"/>
      <c r="AM25" s="347"/>
      <c r="AN25" s="146"/>
      <c r="AO25" s="101" t="str">
        <f t="shared" si="19"/>
        <v/>
      </c>
      <c r="AP25" s="113" t="str">
        <f t="shared" si="20"/>
        <v>-</v>
      </c>
      <c r="AQ25" s="119"/>
      <c r="AR25" s="103" t="str">
        <f t="shared" si="21"/>
        <v/>
      </c>
      <c r="AY25" s="38" t="str">
        <f t="shared" si="1"/>
        <v/>
      </c>
      <c r="AZ25" s="38" t="str">
        <f t="shared" si="2"/>
        <v>0</v>
      </c>
      <c r="BA25" s="38" t="str">
        <f t="shared" si="3"/>
        <v>0</v>
      </c>
      <c r="BB25" s="38" t="str">
        <f t="shared" si="4"/>
        <v>0</v>
      </c>
      <c r="BC25" s="38">
        <f t="shared" si="5"/>
        <v>0</v>
      </c>
      <c r="BD25" s="38">
        <f t="shared" si="6"/>
        <v>0</v>
      </c>
      <c r="BL25" s="38" t="str">
        <f t="shared" si="7"/>
        <v/>
      </c>
      <c r="BM25" s="38" t="str">
        <f t="shared" si="8"/>
        <v/>
      </c>
      <c r="BN25" s="38" t="str">
        <f t="shared" si="9"/>
        <v/>
      </c>
      <c r="BO25" s="38" t="str">
        <f t="shared" si="10"/>
        <v/>
      </c>
      <c r="BP25" s="38" t="str">
        <f t="shared" si="11"/>
        <v/>
      </c>
      <c r="BQ25" s="38" t="str">
        <f t="shared" si="12"/>
        <v/>
      </c>
    </row>
    <row r="26" spans="1:69" ht="15" customHeight="1" x14ac:dyDescent="0.3">
      <c r="A26" s="393" t="s">
        <v>24</v>
      </c>
      <c r="B26" s="394"/>
      <c r="C26" s="394"/>
      <c r="D26" s="394"/>
      <c r="E26" s="81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9"/>
      <c r="Z26" s="139"/>
      <c r="AA26" s="140"/>
      <c r="AB26" s="141" t="s">
        <v>16</v>
      </c>
      <c r="AC26" s="140"/>
      <c r="AD26" s="142"/>
      <c r="AE26" s="143"/>
      <c r="AF26" s="143"/>
      <c r="AG26" s="144"/>
      <c r="AH26" s="145"/>
      <c r="AI26" s="145"/>
      <c r="AJ26" s="342"/>
      <c r="AK26" s="343"/>
      <c r="AL26" s="346"/>
      <c r="AM26" s="347"/>
      <c r="AN26" s="146"/>
      <c r="AO26" s="101" t="str">
        <f t="shared" si="19"/>
        <v/>
      </c>
      <c r="AP26" s="113" t="str">
        <f t="shared" si="20"/>
        <v>-</v>
      </c>
      <c r="AQ26" s="119"/>
      <c r="AR26" s="103" t="str">
        <f t="shared" si="21"/>
        <v/>
      </c>
      <c r="AY26" s="38" t="str">
        <f t="shared" si="1"/>
        <v/>
      </c>
      <c r="AZ26" s="38" t="str">
        <f t="shared" si="2"/>
        <v>0</v>
      </c>
      <c r="BA26" s="38" t="str">
        <f t="shared" si="3"/>
        <v>0</v>
      </c>
      <c r="BB26" s="38" t="str">
        <f t="shared" si="4"/>
        <v>0</v>
      </c>
      <c r="BC26" s="38">
        <f t="shared" si="5"/>
        <v>0</v>
      </c>
      <c r="BD26" s="38">
        <f t="shared" si="6"/>
        <v>0</v>
      </c>
      <c r="BL26" s="38" t="str">
        <f t="shared" si="7"/>
        <v/>
      </c>
      <c r="BM26" s="38" t="str">
        <f t="shared" si="8"/>
        <v/>
      </c>
      <c r="BN26" s="38" t="str">
        <f t="shared" si="9"/>
        <v/>
      </c>
      <c r="BO26" s="38" t="str">
        <f t="shared" si="10"/>
        <v/>
      </c>
      <c r="BP26" s="38" t="str">
        <f t="shared" si="11"/>
        <v/>
      </c>
      <c r="BQ26" s="38" t="str">
        <f t="shared" si="12"/>
        <v/>
      </c>
    </row>
    <row r="27" spans="1:69" ht="15.6" x14ac:dyDescent="0.3">
      <c r="A27" s="393"/>
      <c r="B27" s="394"/>
      <c r="C27" s="394"/>
      <c r="D27" s="394"/>
      <c r="E27" s="81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9"/>
      <c r="Z27" s="139"/>
      <c r="AA27" s="140"/>
      <c r="AB27" s="141" t="s">
        <v>16</v>
      </c>
      <c r="AC27" s="140"/>
      <c r="AD27" s="142"/>
      <c r="AE27" s="143"/>
      <c r="AF27" s="143"/>
      <c r="AG27" s="144"/>
      <c r="AH27" s="145"/>
      <c r="AI27" s="145"/>
      <c r="AJ27" s="342"/>
      <c r="AK27" s="343"/>
      <c r="AL27" s="346"/>
      <c r="AM27" s="347"/>
      <c r="AN27" s="146"/>
      <c r="AO27" s="101" t="str">
        <f t="shared" si="19"/>
        <v/>
      </c>
      <c r="AP27" s="113" t="str">
        <f t="shared" si="20"/>
        <v>-</v>
      </c>
      <c r="AQ27" s="119"/>
      <c r="AR27" s="103" t="str">
        <f t="shared" si="21"/>
        <v/>
      </c>
      <c r="AY27" s="38" t="str">
        <f t="shared" si="1"/>
        <v/>
      </c>
      <c r="AZ27" s="38" t="str">
        <f t="shared" si="2"/>
        <v>0</v>
      </c>
      <c r="BA27" s="38" t="str">
        <f t="shared" si="3"/>
        <v>0</v>
      </c>
      <c r="BB27" s="38" t="str">
        <f t="shared" si="4"/>
        <v>0</v>
      </c>
      <c r="BC27" s="38">
        <f t="shared" si="5"/>
        <v>0</v>
      </c>
      <c r="BD27" s="38">
        <f t="shared" si="6"/>
        <v>0</v>
      </c>
      <c r="BL27" s="38" t="str">
        <f t="shared" si="7"/>
        <v/>
      </c>
      <c r="BM27" s="38" t="str">
        <f t="shared" si="8"/>
        <v/>
      </c>
      <c r="BN27" s="38" t="str">
        <f t="shared" si="9"/>
        <v/>
      </c>
      <c r="BO27" s="38" t="str">
        <f t="shared" si="10"/>
        <v/>
      </c>
      <c r="BP27" s="38" t="str">
        <f t="shared" si="11"/>
        <v/>
      </c>
      <c r="BQ27" s="38" t="str">
        <f t="shared" si="12"/>
        <v/>
      </c>
    </row>
    <row r="28" spans="1:69" ht="15.6" x14ac:dyDescent="0.3">
      <c r="A28" s="395"/>
      <c r="B28" s="396"/>
      <c r="C28" s="396"/>
      <c r="D28" s="396"/>
      <c r="E28" s="81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1"/>
      <c r="Z28" s="147"/>
      <c r="AA28" s="140"/>
      <c r="AB28" s="148" t="str">
        <f>+AB25</f>
        <v>-</v>
      </c>
      <c r="AC28" s="140"/>
      <c r="AD28" s="142"/>
      <c r="AE28" s="143"/>
      <c r="AF28" s="143"/>
      <c r="AG28" s="144"/>
      <c r="AH28" s="145"/>
      <c r="AI28" s="145"/>
      <c r="AJ28" s="342"/>
      <c r="AK28" s="343"/>
      <c r="AL28" s="346"/>
      <c r="AM28" s="347"/>
      <c r="AN28" s="146"/>
      <c r="AO28" s="101" t="str">
        <f t="shared" si="19"/>
        <v/>
      </c>
      <c r="AP28" s="113" t="str">
        <f t="shared" si="20"/>
        <v>-</v>
      </c>
      <c r="AQ28" s="119"/>
      <c r="AR28" s="103" t="str">
        <f t="shared" si="21"/>
        <v/>
      </c>
      <c r="AY28" s="38" t="str">
        <f t="shared" si="1"/>
        <v/>
      </c>
      <c r="AZ28" s="38" t="str">
        <f t="shared" si="2"/>
        <v>0</v>
      </c>
      <c r="BA28" s="38" t="str">
        <f t="shared" si="3"/>
        <v>0</v>
      </c>
      <c r="BB28" s="38" t="str">
        <f t="shared" si="4"/>
        <v>0</v>
      </c>
      <c r="BC28" s="38">
        <f t="shared" si="5"/>
        <v>0</v>
      </c>
      <c r="BD28" s="38">
        <f t="shared" si="6"/>
        <v>0</v>
      </c>
      <c r="BL28" s="38" t="str">
        <f t="shared" si="7"/>
        <v/>
      </c>
      <c r="BM28" s="38" t="str">
        <f t="shared" si="8"/>
        <v/>
      </c>
      <c r="BN28" s="38" t="str">
        <f t="shared" si="9"/>
        <v/>
      </c>
      <c r="BO28" s="38" t="str">
        <f t="shared" si="10"/>
        <v/>
      </c>
      <c r="BP28" s="38" t="str">
        <f t="shared" si="11"/>
        <v/>
      </c>
      <c r="BQ28" s="38" t="str">
        <f t="shared" si="12"/>
        <v/>
      </c>
    </row>
    <row r="29" spans="1:69" ht="15.6" x14ac:dyDescent="0.3">
      <c r="A29" s="86" t="s">
        <v>0</v>
      </c>
      <c r="B29" s="87" t="s">
        <v>1</v>
      </c>
      <c r="C29" s="64"/>
      <c r="D29" s="89"/>
      <c r="E29" s="88" t="s">
        <v>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90"/>
      <c r="V29" s="91" t="s">
        <v>3</v>
      </c>
      <c r="W29" s="91" t="s">
        <v>4</v>
      </c>
      <c r="X29" s="91" t="s">
        <v>5</v>
      </c>
      <c r="Y29" s="92" t="s">
        <v>6</v>
      </c>
      <c r="Z29" s="111"/>
      <c r="AA29" s="149"/>
      <c r="AB29" s="150" t="str">
        <f t="shared" si="16"/>
        <v>-</v>
      </c>
      <c r="AC29" s="149"/>
      <c r="AD29" s="151"/>
      <c r="AE29" s="152"/>
      <c r="AF29" s="152"/>
      <c r="AG29" s="153"/>
      <c r="AH29" s="154"/>
      <c r="AI29" s="154"/>
      <c r="AJ29" s="342"/>
      <c r="AK29" s="343"/>
      <c r="AL29" s="348"/>
      <c r="AM29" s="349"/>
      <c r="AN29" s="155"/>
      <c r="AO29" s="101" t="str">
        <f t="shared" si="19"/>
        <v/>
      </c>
      <c r="AP29" s="113" t="str">
        <f t="shared" si="20"/>
        <v>-</v>
      </c>
      <c r="AQ29" s="119"/>
      <c r="AR29" s="103" t="str">
        <f t="shared" si="21"/>
        <v/>
      </c>
      <c r="AY29" s="38" t="str">
        <f t="shared" si="1"/>
        <v/>
      </c>
      <c r="AZ29" s="38" t="str">
        <f t="shared" si="2"/>
        <v>0</v>
      </c>
      <c r="BA29" s="38" t="str">
        <f t="shared" si="3"/>
        <v>0</v>
      </c>
      <c r="BB29" s="38" t="str">
        <f t="shared" si="4"/>
        <v>0</v>
      </c>
      <c r="BC29" s="38">
        <f t="shared" si="5"/>
        <v>0</v>
      </c>
      <c r="BD29" s="38">
        <f t="shared" si="6"/>
        <v>0</v>
      </c>
      <c r="BL29" s="38" t="str">
        <f t="shared" si="7"/>
        <v/>
      </c>
      <c r="BM29" s="38" t="str">
        <f t="shared" si="8"/>
        <v/>
      </c>
      <c r="BN29" s="38" t="str">
        <f t="shared" si="9"/>
        <v/>
      </c>
      <c r="BO29" s="38" t="str">
        <f t="shared" si="10"/>
        <v/>
      </c>
      <c r="BP29" s="38" t="str">
        <f t="shared" si="11"/>
        <v/>
      </c>
      <c r="BQ29" s="38" t="str">
        <f t="shared" si="12"/>
        <v/>
      </c>
    </row>
    <row r="30" spans="1:69" ht="15.6" x14ac:dyDescent="0.3">
      <c r="A30" s="104" t="s">
        <v>265</v>
      </c>
      <c r="B30" s="397">
        <f>IF(ISBLANK(HLOOKUP($F$25,spelerslijsten!$B$1:$J$22,4,FALSE)),"",HLOOKUP($F$25,spelerslijsten!$B$1:$J$22,4,FALSE))</f>
        <v>2</v>
      </c>
      <c r="C30" s="398"/>
      <c r="D30" s="105"/>
      <c r="E30" s="106" t="str">
        <f>IF(ISBLANK(HLOOKUP($F$25,spelerslijsten!$B$1:$J$22,3,FALSE)),"",HLOOKUP($F$25,spelerslijsten!$B$1:$J$22,3,FALSE))</f>
        <v>Jack Steeghs</v>
      </c>
      <c r="F30" s="105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8">
        <f t="shared" ref="V30:V39" si="23">SUMIF($AY$13:$AY$46,AT30,$BC$13:$BC$46)</f>
        <v>0</v>
      </c>
      <c r="W30" s="109" t="str">
        <f>IF(AU30&gt;0,"x","")</f>
        <v/>
      </c>
      <c r="X30" s="110" t="str">
        <f>IF(AU30&gt;1,"x","")</f>
        <v/>
      </c>
      <c r="Y30" s="103" t="str">
        <f>IF(AU30&gt;2,"x","")</f>
        <v/>
      </c>
      <c r="Z30" s="111"/>
      <c r="AA30" s="112"/>
      <c r="AB30" s="113" t="str">
        <f t="shared" si="16"/>
        <v>-</v>
      </c>
      <c r="AC30" s="112"/>
      <c r="AD30" s="114"/>
      <c r="AE30" s="115"/>
      <c r="AF30" s="115"/>
      <c r="AG30" s="116"/>
      <c r="AH30" s="117"/>
      <c r="AI30" s="117"/>
      <c r="AJ30" s="342"/>
      <c r="AK30" s="343"/>
      <c r="AL30" s="346"/>
      <c r="AM30" s="347"/>
      <c r="AN30" s="118"/>
      <c r="AO30" s="101" t="str">
        <f t="shared" si="19"/>
        <v/>
      </c>
      <c r="AP30" s="113" t="str">
        <f t="shared" si="20"/>
        <v>-</v>
      </c>
      <c r="AQ30" s="119"/>
      <c r="AR30" s="103" t="str">
        <f t="shared" si="21"/>
        <v/>
      </c>
      <c r="AT30" s="38" t="str">
        <f>CONCATENATE($AV$11&amp;B30)</f>
        <v>B2</v>
      </c>
      <c r="AU30" s="38">
        <f t="shared" si="18"/>
        <v>0</v>
      </c>
      <c r="AY30" s="38" t="str">
        <f t="shared" si="1"/>
        <v/>
      </c>
      <c r="AZ30" s="38" t="str">
        <f t="shared" si="2"/>
        <v>0</v>
      </c>
      <c r="BA30" s="38" t="str">
        <f t="shared" si="3"/>
        <v>0</v>
      </c>
      <c r="BB30" s="38" t="str">
        <f t="shared" si="4"/>
        <v>0</v>
      </c>
      <c r="BC30" s="38">
        <f t="shared" si="5"/>
        <v>0</v>
      </c>
      <c r="BD30" s="38">
        <f t="shared" si="6"/>
        <v>0</v>
      </c>
      <c r="BL30" s="38" t="str">
        <f t="shared" si="7"/>
        <v/>
      </c>
      <c r="BM30" s="38" t="str">
        <f t="shared" si="8"/>
        <v/>
      </c>
      <c r="BN30" s="38" t="str">
        <f t="shared" si="9"/>
        <v/>
      </c>
      <c r="BO30" s="38" t="str">
        <f t="shared" si="10"/>
        <v/>
      </c>
      <c r="BP30" s="38" t="str">
        <f t="shared" si="11"/>
        <v/>
      </c>
      <c r="BQ30" s="38" t="str">
        <f t="shared" si="12"/>
        <v/>
      </c>
    </row>
    <row r="31" spans="1:69" ht="15.6" x14ac:dyDescent="0.3">
      <c r="A31" s="120" t="s">
        <v>265</v>
      </c>
      <c r="B31" s="397">
        <f>IF(ISBLANK(HLOOKUP($F$25,spelerslijsten!$B$1:$J$22,6,FALSE)),"",HLOOKUP($F$25,spelerslijsten!$B$1:$J$22,6,FALSE))</f>
        <v>3</v>
      </c>
      <c r="C31" s="398"/>
      <c r="D31" s="121"/>
      <c r="E31" s="122" t="str">
        <f>IF(ISBLANK(HLOOKUP($F$25,spelerslijsten!$B$1:$J$22,5,FALSE)),"",HLOOKUP($F$25,spelerslijsten!$B$1:$J$22,5,FALSE))</f>
        <v>Niels Venterink</v>
      </c>
      <c r="F31" s="12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08">
        <f t="shared" si="23"/>
        <v>0</v>
      </c>
      <c r="W31" s="109" t="str">
        <f t="shared" ref="W31:W39" si="24">IF(AU31&gt;0,"x","")</f>
        <v/>
      </c>
      <c r="X31" s="110" t="str">
        <f t="shared" ref="X31:X39" si="25">IF(AU31&gt;1,"x","")</f>
        <v/>
      </c>
      <c r="Y31" s="103" t="str">
        <f t="shared" ref="Y31:Y39" si="26">IF(AU31&gt;2,"x","")</f>
        <v/>
      </c>
      <c r="Z31" s="111"/>
      <c r="AA31" s="112"/>
      <c r="AB31" s="113" t="str">
        <f t="shared" si="16"/>
        <v>-</v>
      </c>
      <c r="AC31" s="112"/>
      <c r="AD31" s="114"/>
      <c r="AE31" s="115"/>
      <c r="AF31" s="115"/>
      <c r="AG31" s="116"/>
      <c r="AH31" s="117"/>
      <c r="AI31" s="117"/>
      <c r="AJ31" s="342"/>
      <c r="AK31" s="343"/>
      <c r="AL31" s="346"/>
      <c r="AM31" s="347"/>
      <c r="AN31" s="118"/>
      <c r="AO31" s="101" t="str">
        <f t="shared" si="19"/>
        <v/>
      </c>
      <c r="AP31" s="113" t="str">
        <f t="shared" si="20"/>
        <v>-</v>
      </c>
      <c r="AQ31" s="119"/>
      <c r="AR31" s="103" t="str">
        <f t="shared" si="21"/>
        <v/>
      </c>
      <c r="AT31" s="38" t="str">
        <f t="shared" ref="AT31:AT39" si="27">CONCATENATE($AV$11&amp;B31)</f>
        <v>B3</v>
      </c>
      <c r="AU31" s="38">
        <f t="shared" si="18"/>
        <v>0</v>
      </c>
      <c r="AY31" s="38" t="str">
        <f t="shared" si="1"/>
        <v/>
      </c>
      <c r="AZ31" s="38" t="str">
        <f t="shared" si="2"/>
        <v>0</v>
      </c>
      <c r="BA31" s="38" t="str">
        <f t="shared" si="3"/>
        <v>0</v>
      </c>
      <c r="BB31" s="38" t="str">
        <f t="shared" si="4"/>
        <v>0</v>
      </c>
      <c r="BC31" s="38">
        <f t="shared" si="5"/>
        <v>0</v>
      </c>
      <c r="BD31" s="38">
        <f t="shared" si="6"/>
        <v>0</v>
      </c>
      <c r="BL31" s="38" t="str">
        <f t="shared" si="7"/>
        <v/>
      </c>
      <c r="BM31" s="38" t="str">
        <f t="shared" si="8"/>
        <v/>
      </c>
      <c r="BN31" s="38" t="str">
        <f t="shared" si="9"/>
        <v/>
      </c>
      <c r="BO31" s="38" t="str">
        <f t="shared" si="10"/>
        <v/>
      </c>
      <c r="BP31" s="38" t="str">
        <f t="shared" si="11"/>
        <v/>
      </c>
      <c r="BQ31" s="38" t="str">
        <f t="shared" si="12"/>
        <v/>
      </c>
    </row>
    <row r="32" spans="1:69" ht="15.6" x14ac:dyDescent="0.3">
      <c r="A32" s="124"/>
      <c r="B32" s="397">
        <f>IF(ISBLANK(HLOOKUP($F$25,spelerslijsten!$B$1:$J$22,8,FALSE)),"",HLOOKUP($F$25,spelerslijsten!$B$1:$J$22,8,FALSE))</f>
        <v>4</v>
      </c>
      <c r="C32" s="398"/>
      <c r="D32" s="121"/>
      <c r="E32" s="122" t="str">
        <f>IF(ISBLANK(HLOOKUP($F$25,spelerslijsten!$B$1:$J$22,7,FALSE)),"",HLOOKUP($F$25,spelerslijsten!$B$1:$J$22,7,FALSE))</f>
        <v>Wendy Kuysters</v>
      </c>
      <c r="F32" s="12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08">
        <f t="shared" si="23"/>
        <v>0</v>
      </c>
      <c r="W32" s="109" t="str">
        <f t="shared" si="24"/>
        <v/>
      </c>
      <c r="X32" s="110" t="str">
        <f t="shared" si="25"/>
        <v/>
      </c>
      <c r="Y32" s="103" t="str">
        <f t="shared" si="26"/>
        <v/>
      </c>
      <c r="Z32" s="111"/>
      <c r="AA32" s="112"/>
      <c r="AB32" s="113" t="str">
        <f t="shared" si="16"/>
        <v>-</v>
      </c>
      <c r="AC32" s="112"/>
      <c r="AD32" s="114"/>
      <c r="AE32" s="115"/>
      <c r="AF32" s="115"/>
      <c r="AG32" s="116"/>
      <c r="AH32" s="117"/>
      <c r="AI32" s="117"/>
      <c r="AJ32" s="342"/>
      <c r="AK32" s="343"/>
      <c r="AL32" s="346"/>
      <c r="AM32" s="347"/>
      <c r="AN32" s="118"/>
      <c r="AO32" s="101" t="str">
        <f t="shared" si="19"/>
        <v/>
      </c>
      <c r="AP32" s="113" t="str">
        <f t="shared" si="20"/>
        <v>-</v>
      </c>
      <c r="AQ32" s="119"/>
      <c r="AR32" s="103" t="str">
        <f t="shared" si="21"/>
        <v/>
      </c>
      <c r="AT32" s="38" t="str">
        <f t="shared" si="27"/>
        <v>B4</v>
      </c>
      <c r="AU32" s="38">
        <f t="shared" si="18"/>
        <v>0</v>
      </c>
      <c r="AY32" s="38" t="str">
        <f t="shared" si="1"/>
        <v/>
      </c>
      <c r="AZ32" s="38" t="str">
        <f t="shared" si="2"/>
        <v>0</v>
      </c>
      <c r="BA32" s="38" t="str">
        <f t="shared" si="3"/>
        <v>0</v>
      </c>
      <c r="BB32" s="38" t="str">
        <f t="shared" si="4"/>
        <v>0</v>
      </c>
      <c r="BC32" s="38">
        <f t="shared" si="5"/>
        <v>0</v>
      </c>
      <c r="BD32" s="38">
        <f t="shared" si="6"/>
        <v>0</v>
      </c>
      <c r="BL32" s="38" t="str">
        <f t="shared" si="7"/>
        <v/>
      </c>
      <c r="BM32" s="38" t="str">
        <f t="shared" si="8"/>
        <v/>
      </c>
      <c r="BN32" s="38" t="str">
        <f t="shared" si="9"/>
        <v/>
      </c>
      <c r="BO32" s="38" t="str">
        <f t="shared" si="10"/>
        <v/>
      </c>
      <c r="BP32" s="38" t="str">
        <f t="shared" si="11"/>
        <v/>
      </c>
      <c r="BQ32" s="38" t="str">
        <f t="shared" si="12"/>
        <v/>
      </c>
    </row>
    <row r="33" spans="1:69" ht="15.6" x14ac:dyDescent="0.3">
      <c r="A33" s="124"/>
      <c r="B33" s="397">
        <f>IF(ISBLANK(HLOOKUP($F$25,spelerslijsten!$B$1:$J$22,10,FALSE)),"",HLOOKUP($F$25,spelerslijsten!$B$1:$J$22,10,FALSE))</f>
        <v>6</v>
      </c>
      <c r="C33" s="398"/>
      <c r="D33" s="121"/>
      <c r="E33" s="122" t="str">
        <f>IF(ISBLANK(HLOOKUP($F$25,spelerslijsten!$B$1:$J$22,9,FALSE)),"",HLOOKUP($F$25,spelerslijsten!$B$1:$J$22,9,FALSE))</f>
        <v>Kristel Henst</v>
      </c>
      <c r="F33" s="12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08">
        <f t="shared" si="23"/>
        <v>0</v>
      </c>
      <c r="W33" s="109" t="str">
        <f t="shared" si="24"/>
        <v/>
      </c>
      <c r="X33" s="110" t="str">
        <f t="shared" si="25"/>
        <v/>
      </c>
      <c r="Y33" s="103" t="str">
        <f t="shared" si="26"/>
        <v/>
      </c>
      <c r="Z33" s="111"/>
      <c r="AA33" s="112"/>
      <c r="AB33" s="113" t="str">
        <f t="shared" si="16"/>
        <v>-</v>
      </c>
      <c r="AC33" s="112"/>
      <c r="AD33" s="114"/>
      <c r="AE33" s="115"/>
      <c r="AF33" s="115"/>
      <c r="AG33" s="116"/>
      <c r="AH33" s="117"/>
      <c r="AI33" s="117"/>
      <c r="AJ33" s="342"/>
      <c r="AK33" s="343"/>
      <c r="AL33" s="346"/>
      <c r="AM33" s="347"/>
      <c r="AN33" s="118"/>
      <c r="AO33" s="101" t="str">
        <f t="shared" si="19"/>
        <v/>
      </c>
      <c r="AP33" s="113" t="str">
        <f t="shared" si="20"/>
        <v>-</v>
      </c>
      <c r="AQ33" s="119"/>
      <c r="AR33" s="103" t="str">
        <f t="shared" si="21"/>
        <v/>
      </c>
      <c r="AT33" s="38" t="str">
        <f t="shared" si="27"/>
        <v>B6</v>
      </c>
      <c r="AU33" s="38">
        <f t="shared" si="18"/>
        <v>0</v>
      </c>
      <c r="AY33" s="38" t="str">
        <f t="shared" si="1"/>
        <v/>
      </c>
      <c r="AZ33" s="38" t="str">
        <f t="shared" si="2"/>
        <v>0</v>
      </c>
      <c r="BA33" s="38" t="str">
        <f t="shared" si="3"/>
        <v>0</v>
      </c>
      <c r="BB33" s="38" t="str">
        <f t="shared" si="4"/>
        <v>0</v>
      </c>
      <c r="BC33" s="38">
        <f t="shared" si="5"/>
        <v>0</v>
      </c>
      <c r="BD33" s="38">
        <f t="shared" si="6"/>
        <v>0</v>
      </c>
      <c r="BL33" s="38" t="str">
        <f t="shared" si="7"/>
        <v/>
      </c>
      <c r="BM33" s="38" t="str">
        <f t="shared" si="8"/>
        <v/>
      </c>
      <c r="BN33" s="38" t="str">
        <f t="shared" si="9"/>
        <v/>
      </c>
      <c r="BO33" s="38" t="str">
        <f t="shared" si="10"/>
        <v/>
      </c>
      <c r="BP33" s="38" t="str">
        <f t="shared" si="11"/>
        <v/>
      </c>
      <c r="BQ33" s="38" t="str">
        <f t="shared" si="12"/>
        <v/>
      </c>
    </row>
    <row r="34" spans="1:69" ht="15.6" x14ac:dyDescent="0.3">
      <c r="A34" s="124" t="s">
        <v>265</v>
      </c>
      <c r="B34" s="397">
        <f>IF(ISBLANK(HLOOKUP($F$25,spelerslijsten!$B$1:$J$22,12,FALSE)),"",HLOOKUP($F$25,spelerslijsten!$B$1:$J$22,12,FALSE))</f>
        <v>7</v>
      </c>
      <c r="C34" s="398"/>
      <c r="D34" s="121"/>
      <c r="E34" s="122" t="str">
        <f>IF(ISBLANK(HLOOKUP($F$25,spelerslijsten!$B$1:$J$22,11,FALSE)),"",HLOOKUP($F$25,spelerslijsten!$B$1:$J$22,11,FALSE))</f>
        <v>Wout Reininga</v>
      </c>
      <c r="F34" s="12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08">
        <f t="shared" si="23"/>
        <v>1</v>
      </c>
      <c r="W34" s="109" t="str">
        <f t="shared" si="24"/>
        <v/>
      </c>
      <c r="X34" s="110" t="str">
        <f t="shared" si="25"/>
        <v/>
      </c>
      <c r="Y34" s="103" t="str">
        <f t="shared" si="26"/>
        <v/>
      </c>
      <c r="Z34" s="111"/>
      <c r="AA34" s="112"/>
      <c r="AB34" s="113" t="str">
        <f t="shared" si="16"/>
        <v>-</v>
      </c>
      <c r="AC34" s="112"/>
      <c r="AD34" s="114"/>
      <c r="AE34" s="115"/>
      <c r="AF34" s="115"/>
      <c r="AG34" s="116"/>
      <c r="AH34" s="117"/>
      <c r="AI34" s="117"/>
      <c r="AJ34" s="342"/>
      <c r="AK34" s="343"/>
      <c r="AL34" s="346"/>
      <c r="AM34" s="347"/>
      <c r="AN34" s="118"/>
      <c r="AO34" s="101" t="str">
        <f t="shared" si="19"/>
        <v/>
      </c>
      <c r="AP34" s="113" t="str">
        <f t="shared" si="20"/>
        <v>-</v>
      </c>
      <c r="AQ34" s="119"/>
      <c r="AR34" s="103" t="str">
        <f t="shared" si="21"/>
        <v/>
      </c>
      <c r="AT34" s="38" t="str">
        <f t="shared" si="27"/>
        <v>B7</v>
      </c>
      <c r="AU34" s="38">
        <f t="shared" si="18"/>
        <v>0</v>
      </c>
      <c r="AY34" s="38" t="str">
        <f t="shared" si="1"/>
        <v/>
      </c>
      <c r="AZ34" s="38" t="str">
        <f t="shared" si="2"/>
        <v>0</v>
      </c>
      <c r="BA34" s="38" t="str">
        <f t="shared" si="3"/>
        <v>0</v>
      </c>
      <c r="BB34" s="38" t="str">
        <f t="shared" si="4"/>
        <v>0</v>
      </c>
      <c r="BC34" s="38">
        <f t="shared" si="5"/>
        <v>0</v>
      </c>
      <c r="BD34" s="38">
        <f t="shared" si="6"/>
        <v>0</v>
      </c>
      <c r="BL34" s="38" t="str">
        <f t="shared" si="7"/>
        <v/>
      </c>
      <c r="BM34" s="38" t="str">
        <f t="shared" si="8"/>
        <v/>
      </c>
      <c r="BN34" s="38" t="str">
        <f t="shared" si="9"/>
        <v/>
      </c>
      <c r="BO34" s="38" t="str">
        <f t="shared" si="10"/>
        <v/>
      </c>
      <c r="BP34" s="38" t="str">
        <f t="shared" si="11"/>
        <v/>
      </c>
      <c r="BQ34" s="38" t="str">
        <f t="shared" si="12"/>
        <v/>
      </c>
    </row>
    <row r="35" spans="1:69" ht="15.6" x14ac:dyDescent="0.3">
      <c r="A35" s="124" t="s">
        <v>265</v>
      </c>
      <c r="B35" s="397">
        <f>IF(ISBLANK(HLOOKUP($F$25,spelerslijsten!$B$1:$J$22,14,FALSE)),"",HLOOKUP($F$25,spelerslijsten!$B$1:$J$22,14,FALSE))</f>
        <v>8</v>
      </c>
      <c r="C35" s="398"/>
      <c r="D35" s="121"/>
      <c r="E35" s="122" t="str">
        <f>IF(ISBLANK(HLOOKUP($F$25,spelerslijsten!$B$1:$J$22,13,FALSE)),"",HLOOKUP($F$25,spelerslijsten!$B$1:$J$22,13,FALSE))</f>
        <v>Romy Hoed-Venterink</v>
      </c>
      <c r="F35" s="12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08">
        <f t="shared" si="23"/>
        <v>3</v>
      </c>
      <c r="W35" s="109" t="str">
        <f t="shared" si="24"/>
        <v/>
      </c>
      <c r="X35" s="110" t="str">
        <f t="shared" si="25"/>
        <v/>
      </c>
      <c r="Y35" s="103" t="str">
        <f t="shared" si="26"/>
        <v/>
      </c>
      <c r="Z35" s="111"/>
      <c r="AA35" s="112"/>
      <c r="AB35" s="113" t="str">
        <f t="shared" si="16"/>
        <v>-</v>
      </c>
      <c r="AC35" s="112"/>
      <c r="AD35" s="114"/>
      <c r="AE35" s="115"/>
      <c r="AF35" s="115"/>
      <c r="AG35" s="116"/>
      <c r="AH35" s="117"/>
      <c r="AI35" s="117"/>
      <c r="AJ35" s="342"/>
      <c r="AK35" s="343"/>
      <c r="AL35" s="346"/>
      <c r="AM35" s="347"/>
      <c r="AN35" s="118"/>
      <c r="AO35" s="101" t="str">
        <f t="shared" si="19"/>
        <v/>
      </c>
      <c r="AP35" s="113" t="str">
        <f t="shared" si="20"/>
        <v>-</v>
      </c>
      <c r="AQ35" s="119"/>
      <c r="AR35" s="103" t="str">
        <f t="shared" si="21"/>
        <v/>
      </c>
      <c r="AT35" s="38" t="str">
        <f t="shared" si="27"/>
        <v>B8</v>
      </c>
      <c r="AU35" s="38">
        <f t="shared" si="18"/>
        <v>0</v>
      </c>
      <c r="AY35" s="38" t="str">
        <f t="shared" si="1"/>
        <v/>
      </c>
      <c r="AZ35" s="38" t="str">
        <f t="shared" si="2"/>
        <v>0</v>
      </c>
      <c r="BA35" s="38" t="str">
        <f t="shared" si="3"/>
        <v>0</v>
      </c>
      <c r="BB35" s="38" t="str">
        <f t="shared" si="4"/>
        <v>0</v>
      </c>
      <c r="BC35" s="38">
        <f t="shared" si="5"/>
        <v>0</v>
      </c>
      <c r="BD35" s="38">
        <f t="shared" si="6"/>
        <v>0</v>
      </c>
      <c r="BL35" s="38" t="str">
        <f t="shared" si="7"/>
        <v/>
      </c>
      <c r="BM35" s="38" t="str">
        <f t="shared" si="8"/>
        <v/>
      </c>
      <c r="BN35" s="38" t="str">
        <f t="shared" si="9"/>
        <v/>
      </c>
      <c r="BO35" s="38" t="str">
        <f t="shared" si="10"/>
        <v/>
      </c>
      <c r="BP35" s="38" t="str">
        <f t="shared" si="11"/>
        <v/>
      </c>
      <c r="BQ35" s="38" t="str">
        <f t="shared" si="12"/>
        <v/>
      </c>
    </row>
    <row r="36" spans="1:69" ht="15.6" x14ac:dyDescent="0.3">
      <c r="A36" s="124" t="s">
        <v>265</v>
      </c>
      <c r="B36" s="397">
        <f>IF(ISBLANK(HLOOKUP($F$25,spelerslijsten!$B$1:$J$22,16,FALSE)),"",HLOOKUP($F$25,spelerslijsten!$B$1:$J$22,16,FALSE))</f>
        <v>9</v>
      </c>
      <c r="C36" s="398"/>
      <c r="D36" s="121"/>
      <c r="E36" s="122" t="str">
        <f>IF(ISBLANK(HLOOKUP($F$25,spelerslijsten!$B$1:$J$22,15,FALSE)),"",HLOOKUP($F$25,spelerslijsten!$B$1:$J$22,15,FALSE))</f>
        <v>Marieke van Namen</v>
      </c>
      <c r="F36" s="12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08">
        <f t="shared" si="23"/>
        <v>0</v>
      </c>
      <c r="W36" s="109" t="str">
        <f t="shared" si="24"/>
        <v/>
      </c>
      <c r="X36" s="110" t="str">
        <f t="shared" si="25"/>
        <v/>
      </c>
      <c r="Y36" s="103" t="str">
        <f t="shared" si="26"/>
        <v/>
      </c>
      <c r="Z36" s="111"/>
      <c r="AA36" s="112"/>
      <c r="AB36" s="113" t="str">
        <f t="shared" si="16"/>
        <v>-</v>
      </c>
      <c r="AC36" s="112"/>
      <c r="AD36" s="114"/>
      <c r="AE36" s="115"/>
      <c r="AF36" s="115"/>
      <c r="AG36" s="116"/>
      <c r="AH36" s="117"/>
      <c r="AI36" s="117"/>
      <c r="AJ36" s="342"/>
      <c r="AK36" s="343"/>
      <c r="AL36" s="346"/>
      <c r="AM36" s="347"/>
      <c r="AN36" s="118"/>
      <c r="AO36" s="101" t="str">
        <f t="shared" si="19"/>
        <v/>
      </c>
      <c r="AP36" s="113" t="str">
        <f t="shared" si="20"/>
        <v>-</v>
      </c>
      <c r="AQ36" s="119"/>
      <c r="AR36" s="103" t="str">
        <f t="shared" si="21"/>
        <v/>
      </c>
      <c r="AT36" s="38" t="str">
        <f t="shared" si="27"/>
        <v>B9</v>
      </c>
      <c r="AU36" s="38">
        <f t="shared" si="18"/>
        <v>0</v>
      </c>
      <c r="AY36" s="38" t="str">
        <f t="shared" si="1"/>
        <v/>
      </c>
      <c r="AZ36" s="38" t="str">
        <f t="shared" si="2"/>
        <v>0</v>
      </c>
      <c r="BA36" s="38" t="str">
        <f t="shared" si="3"/>
        <v>0</v>
      </c>
      <c r="BB36" s="38" t="str">
        <f t="shared" si="4"/>
        <v>0</v>
      </c>
      <c r="BC36" s="38">
        <f t="shared" si="5"/>
        <v>0</v>
      </c>
      <c r="BD36" s="38">
        <f t="shared" si="6"/>
        <v>0</v>
      </c>
      <c r="BL36" s="38" t="str">
        <f t="shared" si="7"/>
        <v/>
      </c>
      <c r="BM36" s="38" t="str">
        <f t="shared" si="8"/>
        <v/>
      </c>
      <c r="BN36" s="38" t="str">
        <f t="shared" si="9"/>
        <v/>
      </c>
      <c r="BO36" s="38" t="str">
        <f t="shared" si="10"/>
        <v/>
      </c>
      <c r="BP36" s="38" t="str">
        <f t="shared" si="11"/>
        <v/>
      </c>
      <c r="BQ36" s="38" t="str">
        <f t="shared" si="12"/>
        <v/>
      </c>
    </row>
    <row r="37" spans="1:69" ht="15.6" x14ac:dyDescent="0.3">
      <c r="A37" s="124" t="s">
        <v>265</v>
      </c>
      <c r="B37" s="397">
        <f>IF(ISBLANK(HLOOKUP($F$25,spelerslijsten!$B$1:$J$22,18,FALSE)),"",HLOOKUP($F$25,spelerslijsten!$B$1:$J$22,18,FALSE))</f>
        <v>10</v>
      </c>
      <c r="C37" s="398"/>
      <c r="D37" s="121"/>
      <c r="E37" s="122" t="str">
        <f>IF(ISBLANK(HLOOKUP($F$25,spelerslijsten!$B$1:$J$22,17,FALSE)),"",HLOOKUP($F$25,spelerslijsten!$B$1:$J$22,17,FALSE))</f>
        <v>Manon Dekkers</v>
      </c>
      <c r="F37" s="12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08">
        <f t="shared" si="23"/>
        <v>1</v>
      </c>
      <c r="W37" s="109" t="str">
        <f t="shared" si="24"/>
        <v/>
      </c>
      <c r="X37" s="110" t="str">
        <f t="shared" si="25"/>
        <v/>
      </c>
      <c r="Y37" s="103" t="str">
        <f t="shared" si="26"/>
        <v/>
      </c>
      <c r="Z37" s="111"/>
      <c r="AA37" s="112"/>
      <c r="AB37" s="113" t="str">
        <f t="shared" si="16"/>
        <v>-</v>
      </c>
      <c r="AC37" s="112"/>
      <c r="AD37" s="114"/>
      <c r="AE37" s="115"/>
      <c r="AF37" s="115"/>
      <c r="AG37" s="116"/>
      <c r="AH37" s="117"/>
      <c r="AI37" s="117"/>
      <c r="AJ37" s="342"/>
      <c r="AK37" s="343"/>
      <c r="AL37" s="346"/>
      <c r="AM37" s="347"/>
      <c r="AN37" s="118"/>
      <c r="AO37" s="101" t="str">
        <f t="shared" si="19"/>
        <v/>
      </c>
      <c r="AP37" s="113" t="str">
        <f t="shared" si="20"/>
        <v>-</v>
      </c>
      <c r="AQ37" s="119"/>
      <c r="AR37" s="103" t="str">
        <f t="shared" si="21"/>
        <v/>
      </c>
      <c r="AT37" s="38" t="str">
        <f t="shared" si="27"/>
        <v>B10</v>
      </c>
      <c r="AU37" s="38">
        <f t="shared" si="18"/>
        <v>0</v>
      </c>
      <c r="AY37" s="38" t="str">
        <f t="shared" si="1"/>
        <v/>
      </c>
      <c r="AZ37" s="38" t="str">
        <f t="shared" si="2"/>
        <v>0</v>
      </c>
      <c r="BA37" s="38" t="str">
        <f t="shared" si="3"/>
        <v>0</v>
      </c>
      <c r="BB37" s="38" t="str">
        <f t="shared" si="4"/>
        <v>0</v>
      </c>
      <c r="BC37" s="38">
        <f t="shared" si="5"/>
        <v>0</v>
      </c>
      <c r="BD37" s="38">
        <f t="shared" si="6"/>
        <v>0</v>
      </c>
      <c r="BL37" s="38" t="str">
        <f t="shared" si="7"/>
        <v/>
      </c>
      <c r="BM37" s="38" t="str">
        <f t="shared" si="8"/>
        <v/>
      </c>
      <c r="BN37" s="38" t="str">
        <f t="shared" si="9"/>
        <v/>
      </c>
      <c r="BO37" s="38" t="str">
        <f t="shared" si="10"/>
        <v/>
      </c>
      <c r="BP37" s="38" t="str">
        <f t="shared" si="11"/>
        <v/>
      </c>
      <c r="BQ37" s="38" t="str">
        <f t="shared" si="12"/>
        <v/>
      </c>
    </row>
    <row r="38" spans="1:69" ht="15.6" x14ac:dyDescent="0.3">
      <c r="A38" s="124" t="s">
        <v>265</v>
      </c>
      <c r="B38" s="397">
        <f>IF(ISBLANK(HLOOKUP($F$25,spelerslijsten!$B$1:$J$22,20,FALSE)),"",HLOOKUP($F$25,spelerslijsten!$B$1:$J$22,20,FALSE))</f>
        <v>11</v>
      </c>
      <c r="C38" s="398"/>
      <c r="D38" s="121"/>
      <c r="E38" s="122" t="str">
        <f>IF(ISBLANK(HLOOKUP($F$25,spelerslijsten!$B$1:$J$22,19,FALSE)),"",HLOOKUP($F$25,spelerslijsten!$B$1:$J$22,19,FALSE))</f>
        <v>Celine van de Heuvel</v>
      </c>
      <c r="F38" s="12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08">
        <f t="shared" si="23"/>
        <v>0</v>
      </c>
      <c r="W38" s="109" t="str">
        <f t="shared" si="24"/>
        <v/>
      </c>
      <c r="X38" s="110" t="str">
        <f t="shared" si="25"/>
        <v/>
      </c>
      <c r="Y38" s="103" t="str">
        <f t="shared" si="26"/>
        <v/>
      </c>
      <c r="Z38" s="111"/>
      <c r="AA38" s="112"/>
      <c r="AB38" s="113" t="str">
        <f t="shared" si="16"/>
        <v>-</v>
      </c>
      <c r="AC38" s="112"/>
      <c r="AD38" s="114"/>
      <c r="AE38" s="115"/>
      <c r="AF38" s="115"/>
      <c r="AG38" s="116"/>
      <c r="AH38" s="117"/>
      <c r="AI38" s="117"/>
      <c r="AJ38" s="342"/>
      <c r="AK38" s="343"/>
      <c r="AL38" s="346"/>
      <c r="AM38" s="347"/>
      <c r="AN38" s="118"/>
      <c r="AO38" s="101" t="str">
        <f t="shared" si="19"/>
        <v/>
      </c>
      <c r="AP38" s="113" t="str">
        <f t="shared" si="20"/>
        <v>-</v>
      </c>
      <c r="AQ38" s="119"/>
      <c r="AR38" s="103" t="str">
        <f t="shared" si="21"/>
        <v/>
      </c>
      <c r="AT38" s="38" t="str">
        <f t="shared" si="27"/>
        <v>B11</v>
      </c>
      <c r="AU38" s="38">
        <f t="shared" si="18"/>
        <v>0</v>
      </c>
      <c r="AY38" s="38" t="str">
        <f t="shared" si="1"/>
        <v/>
      </c>
      <c r="AZ38" s="38" t="str">
        <f t="shared" si="2"/>
        <v>0</v>
      </c>
      <c r="BA38" s="38" t="str">
        <f t="shared" si="3"/>
        <v>0</v>
      </c>
      <c r="BB38" s="38" t="str">
        <f t="shared" si="4"/>
        <v>0</v>
      </c>
      <c r="BC38" s="38">
        <f t="shared" si="5"/>
        <v>0</v>
      </c>
      <c r="BD38" s="38">
        <f t="shared" si="6"/>
        <v>0</v>
      </c>
      <c r="BL38" s="38" t="str">
        <f t="shared" si="7"/>
        <v/>
      </c>
      <c r="BM38" s="38" t="str">
        <f t="shared" si="8"/>
        <v/>
      </c>
      <c r="BN38" s="38" t="str">
        <f t="shared" si="9"/>
        <v/>
      </c>
      <c r="BO38" s="38" t="str">
        <f t="shared" si="10"/>
        <v/>
      </c>
      <c r="BP38" s="38" t="str">
        <f t="shared" si="11"/>
        <v/>
      </c>
      <c r="BQ38" s="38" t="str">
        <f t="shared" si="12"/>
        <v/>
      </c>
    </row>
    <row r="39" spans="1:69" ht="15.6" x14ac:dyDescent="0.3">
      <c r="A39" s="125"/>
      <c r="B39" s="397" t="str">
        <f>IF(ISBLANK(HLOOKUP($F$25,spelerslijsten!$B$1:$J$22,22,FALSE)),"",HLOOKUP($F$25,spelerslijsten!$B$1:$J$22,22,FALSE))</f>
        <v/>
      </c>
      <c r="C39" s="398"/>
      <c r="D39" s="126"/>
      <c r="E39" s="259" t="str">
        <f>IF(ISBLANK(HLOOKUP($F$25,spelerslijsten!$B$1:$J$22,21,FALSE)),"",HLOOKUP($F$25,spelerslijsten!$B$1:$J$22,21,FALSE))</f>
        <v/>
      </c>
      <c r="F39" s="126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08">
        <f t="shared" si="23"/>
        <v>0</v>
      </c>
      <c r="W39" s="109" t="str">
        <f t="shared" si="24"/>
        <v/>
      </c>
      <c r="X39" s="110" t="str">
        <f t="shared" si="25"/>
        <v/>
      </c>
      <c r="Y39" s="103" t="str">
        <f t="shared" si="26"/>
        <v/>
      </c>
      <c r="Z39" s="111"/>
      <c r="AA39" s="112"/>
      <c r="AB39" s="113" t="str">
        <f t="shared" si="16"/>
        <v>-</v>
      </c>
      <c r="AC39" s="112"/>
      <c r="AD39" s="114"/>
      <c r="AE39" s="115"/>
      <c r="AF39" s="115"/>
      <c r="AG39" s="116"/>
      <c r="AH39" s="117"/>
      <c r="AI39" s="117"/>
      <c r="AJ39" s="342"/>
      <c r="AK39" s="343"/>
      <c r="AL39" s="346"/>
      <c r="AM39" s="347"/>
      <c r="AN39" s="118"/>
      <c r="AO39" s="101" t="str">
        <f t="shared" si="19"/>
        <v/>
      </c>
      <c r="AP39" s="113" t="str">
        <f t="shared" si="20"/>
        <v>-</v>
      </c>
      <c r="AQ39" s="119"/>
      <c r="AR39" s="103" t="str">
        <f t="shared" si="21"/>
        <v/>
      </c>
      <c r="AT39" s="38" t="str">
        <f t="shared" si="27"/>
        <v>B</v>
      </c>
      <c r="AU39" s="38">
        <f t="shared" si="18"/>
        <v>0</v>
      </c>
      <c r="AY39" s="38" t="str">
        <f t="shared" si="1"/>
        <v/>
      </c>
      <c r="AZ39" s="38" t="str">
        <f t="shared" si="2"/>
        <v>0</v>
      </c>
      <c r="BA39" s="38" t="str">
        <f t="shared" si="3"/>
        <v>0</v>
      </c>
      <c r="BB39" s="38" t="str">
        <f t="shared" si="4"/>
        <v>0</v>
      </c>
      <c r="BC39" s="38">
        <f t="shared" si="5"/>
        <v>0</v>
      </c>
      <c r="BD39" s="38">
        <f t="shared" si="6"/>
        <v>0</v>
      </c>
      <c r="BL39" s="38" t="str">
        <f t="shared" si="7"/>
        <v/>
      </c>
      <c r="BM39" s="38" t="str">
        <f t="shared" si="8"/>
        <v/>
      </c>
      <c r="BN39" s="38" t="str">
        <f t="shared" si="9"/>
        <v/>
      </c>
      <c r="BO39" s="38" t="str">
        <f t="shared" si="10"/>
        <v/>
      </c>
      <c r="BP39" s="38" t="str">
        <f t="shared" si="11"/>
        <v/>
      </c>
      <c r="BQ39" s="38" t="str">
        <f t="shared" si="12"/>
        <v/>
      </c>
    </row>
    <row r="40" spans="1:69" ht="16.2" thickBot="1" x14ac:dyDescent="0.35">
      <c r="A40" s="71" t="s">
        <v>67</v>
      </c>
      <c r="B40" s="72"/>
      <c r="C40" s="72"/>
      <c r="D40" s="72"/>
      <c r="E40" s="72"/>
      <c r="F40" s="72"/>
      <c r="G40" s="72"/>
      <c r="H40" s="72"/>
      <c r="I40" s="399">
        <f>HLOOKUP(F25,spelerslijsten!B1:J25,25,FALSE)</f>
        <v>2</v>
      </c>
      <c r="J40" s="400"/>
      <c r="K40" s="74" t="s">
        <v>23</v>
      </c>
      <c r="L40" s="72"/>
      <c r="M40" s="72"/>
      <c r="N40" s="129" t="str">
        <f>HLOOKUP(F25,spelerslijsten!B1:J25,23,FALSE)</f>
        <v>Niels Venterink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30"/>
      <c r="Z40" s="111"/>
      <c r="AA40" s="112"/>
      <c r="AB40" s="113" t="str">
        <f t="shared" si="16"/>
        <v>-</v>
      </c>
      <c r="AC40" s="112"/>
      <c r="AD40" s="114"/>
      <c r="AE40" s="115"/>
      <c r="AF40" s="115"/>
      <c r="AG40" s="116"/>
      <c r="AH40" s="117"/>
      <c r="AI40" s="117"/>
      <c r="AJ40" s="342"/>
      <c r="AK40" s="343"/>
      <c r="AL40" s="346"/>
      <c r="AM40" s="347"/>
      <c r="AN40" s="118"/>
      <c r="AO40" s="101" t="str">
        <f t="shared" si="19"/>
        <v/>
      </c>
      <c r="AP40" s="113" t="str">
        <f t="shared" si="20"/>
        <v>-</v>
      </c>
      <c r="AQ40" s="119"/>
      <c r="AR40" s="103" t="str">
        <f t="shared" si="21"/>
        <v/>
      </c>
      <c r="AY40" s="38" t="str">
        <f t="shared" si="1"/>
        <v/>
      </c>
      <c r="AZ40" s="38" t="str">
        <f t="shared" si="2"/>
        <v>0</v>
      </c>
      <c r="BA40" s="38" t="str">
        <f t="shared" si="3"/>
        <v>0</v>
      </c>
      <c r="BB40" s="38" t="str">
        <f t="shared" si="4"/>
        <v>0</v>
      </c>
      <c r="BC40" s="38">
        <f t="shared" si="5"/>
        <v>0</v>
      </c>
      <c r="BD40" s="38">
        <f t="shared" si="6"/>
        <v>0</v>
      </c>
      <c r="BL40" s="38" t="str">
        <f t="shared" si="7"/>
        <v/>
      </c>
      <c r="BM40" s="38" t="str">
        <f t="shared" si="8"/>
        <v/>
      </c>
      <c r="BN40" s="38" t="str">
        <f t="shared" si="9"/>
        <v/>
      </c>
      <c r="BO40" s="38" t="str">
        <f t="shared" si="10"/>
        <v/>
      </c>
      <c r="BP40" s="38" t="str">
        <f t="shared" si="11"/>
        <v/>
      </c>
      <c r="BQ40" s="38" t="str">
        <f t="shared" si="12"/>
        <v/>
      </c>
    </row>
    <row r="41" spans="1:69" ht="15.6" x14ac:dyDescent="0.3">
      <c r="A41" s="157" t="s">
        <v>68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158"/>
      <c r="Z41" s="111"/>
      <c r="AA41" s="112"/>
      <c r="AB41" s="113" t="str">
        <f t="shared" si="16"/>
        <v>-</v>
      </c>
      <c r="AC41" s="112"/>
      <c r="AD41" s="114"/>
      <c r="AE41" s="115"/>
      <c r="AF41" s="115"/>
      <c r="AG41" s="116"/>
      <c r="AH41" s="117"/>
      <c r="AI41" s="117"/>
      <c r="AJ41" s="342"/>
      <c r="AK41" s="343"/>
      <c r="AL41" s="346"/>
      <c r="AM41" s="347"/>
      <c r="AN41" s="118"/>
      <c r="AO41" s="101" t="str">
        <f t="shared" si="19"/>
        <v/>
      </c>
      <c r="AP41" s="113" t="str">
        <f t="shared" si="20"/>
        <v>-</v>
      </c>
      <c r="AQ41" s="119"/>
      <c r="AR41" s="103" t="str">
        <f t="shared" si="21"/>
        <v/>
      </c>
      <c r="AY41" s="38" t="str">
        <f t="shared" si="1"/>
        <v/>
      </c>
      <c r="AZ41" s="38" t="str">
        <f t="shared" si="2"/>
        <v>0</v>
      </c>
      <c r="BA41" s="38" t="str">
        <f t="shared" si="3"/>
        <v>0</v>
      </c>
      <c r="BB41" s="38" t="str">
        <f t="shared" si="4"/>
        <v>0</v>
      </c>
      <c r="BC41" s="38">
        <f t="shared" si="5"/>
        <v>0</v>
      </c>
      <c r="BD41" s="38">
        <f t="shared" si="6"/>
        <v>0</v>
      </c>
      <c r="BL41" s="38" t="str">
        <f t="shared" si="7"/>
        <v/>
      </c>
      <c r="BM41" s="38" t="str">
        <f t="shared" si="8"/>
        <v/>
      </c>
      <c r="BN41" s="38" t="str">
        <f t="shared" si="9"/>
        <v/>
      </c>
      <c r="BO41" s="38" t="str">
        <f t="shared" si="10"/>
        <v/>
      </c>
      <c r="BP41" s="38" t="str">
        <f t="shared" si="11"/>
        <v/>
      </c>
      <c r="BQ41" s="38" t="str">
        <f t="shared" si="12"/>
        <v/>
      </c>
    </row>
    <row r="42" spans="1:69" ht="15.6" x14ac:dyDescent="0.3">
      <c r="A42" s="15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60"/>
      <c r="Z42" s="111"/>
      <c r="AA42" s="112"/>
      <c r="AB42" s="113" t="str">
        <f t="shared" si="16"/>
        <v>-</v>
      </c>
      <c r="AC42" s="112"/>
      <c r="AD42" s="114"/>
      <c r="AE42" s="115"/>
      <c r="AF42" s="115"/>
      <c r="AG42" s="116"/>
      <c r="AH42" s="117"/>
      <c r="AI42" s="117"/>
      <c r="AJ42" s="342"/>
      <c r="AK42" s="343"/>
      <c r="AL42" s="346"/>
      <c r="AM42" s="347"/>
      <c r="AN42" s="118"/>
      <c r="AO42" s="101" t="str">
        <f t="shared" si="19"/>
        <v/>
      </c>
      <c r="AP42" s="113" t="str">
        <f t="shared" si="20"/>
        <v>-</v>
      </c>
      <c r="AQ42" s="119"/>
      <c r="AR42" s="103" t="str">
        <f t="shared" si="21"/>
        <v/>
      </c>
      <c r="AY42" s="38" t="str">
        <f t="shared" si="1"/>
        <v/>
      </c>
      <c r="AZ42" s="38" t="str">
        <f t="shared" si="2"/>
        <v>0</v>
      </c>
      <c r="BA42" s="38" t="str">
        <f t="shared" si="3"/>
        <v>0</v>
      </c>
      <c r="BB42" s="38" t="str">
        <f t="shared" si="4"/>
        <v>0</v>
      </c>
      <c r="BC42" s="38">
        <f t="shared" si="5"/>
        <v>0</v>
      </c>
      <c r="BD42" s="38">
        <f t="shared" si="6"/>
        <v>0</v>
      </c>
      <c r="BL42" s="38" t="str">
        <f t="shared" si="7"/>
        <v/>
      </c>
      <c r="BM42" s="38" t="str">
        <f t="shared" si="8"/>
        <v/>
      </c>
      <c r="BN42" s="38" t="str">
        <f t="shared" si="9"/>
        <v/>
      </c>
      <c r="BO42" s="38" t="str">
        <f t="shared" si="10"/>
        <v/>
      </c>
      <c r="BP42" s="38" t="str">
        <f t="shared" si="11"/>
        <v/>
      </c>
      <c r="BQ42" s="38" t="str">
        <f t="shared" si="12"/>
        <v/>
      </c>
    </row>
    <row r="43" spans="1:69" ht="15.6" x14ac:dyDescent="0.3">
      <c r="A43" s="16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62"/>
      <c r="Z43" s="111"/>
      <c r="AA43" s="112"/>
      <c r="AB43" s="113" t="str">
        <f t="shared" si="16"/>
        <v>-</v>
      </c>
      <c r="AC43" s="112"/>
      <c r="AD43" s="114"/>
      <c r="AE43" s="115"/>
      <c r="AF43" s="115"/>
      <c r="AG43" s="116"/>
      <c r="AH43" s="117"/>
      <c r="AI43" s="117"/>
      <c r="AJ43" s="342"/>
      <c r="AK43" s="343"/>
      <c r="AL43" s="346"/>
      <c r="AM43" s="347"/>
      <c r="AN43" s="118"/>
      <c r="AO43" s="101" t="str">
        <f t="shared" si="19"/>
        <v/>
      </c>
      <c r="AP43" s="113" t="str">
        <f t="shared" si="20"/>
        <v>-</v>
      </c>
      <c r="AQ43" s="119"/>
      <c r="AR43" s="103" t="str">
        <f t="shared" si="21"/>
        <v/>
      </c>
      <c r="AY43" s="38" t="str">
        <f t="shared" si="1"/>
        <v/>
      </c>
      <c r="AZ43" s="38" t="str">
        <f t="shared" si="2"/>
        <v>0</v>
      </c>
      <c r="BA43" s="38" t="str">
        <f t="shared" si="3"/>
        <v>0</v>
      </c>
      <c r="BB43" s="38" t="str">
        <f t="shared" si="4"/>
        <v>0</v>
      </c>
      <c r="BC43" s="38">
        <f t="shared" si="5"/>
        <v>0</v>
      </c>
      <c r="BD43" s="38">
        <f t="shared" si="6"/>
        <v>0</v>
      </c>
      <c r="BL43" s="38" t="str">
        <f t="shared" si="7"/>
        <v/>
      </c>
      <c r="BM43" s="38" t="str">
        <f t="shared" si="8"/>
        <v/>
      </c>
      <c r="BN43" s="38" t="str">
        <f t="shared" si="9"/>
        <v/>
      </c>
      <c r="BO43" s="38" t="str">
        <f t="shared" si="10"/>
        <v/>
      </c>
      <c r="BP43" s="38" t="str">
        <f t="shared" si="11"/>
        <v/>
      </c>
      <c r="BQ43" s="38" t="str">
        <f t="shared" si="12"/>
        <v/>
      </c>
    </row>
    <row r="44" spans="1:69" ht="15.6" x14ac:dyDescent="0.3">
      <c r="A44" s="16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62"/>
      <c r="Z44" s="111"/>
      <c r="AA44" s="112"/>
      <c r="AB44" s="113" t="str">
        <f t="shared" si="16"/>
        <v>-</v>
      </c>
      <c r="AC44" s="112"/>
      <c r="AD44" s="114"/>
      <c r="AE44" s="115"/>
      <c r="AF44" s="115"/>
      <c r="AG44" s="116"/>
      <c r="AH44" s="117"/>
      <c r="AI44" s="117"/>
      <c r="AJ44" s="342"/>
      <c r="AK44" s="343"/>
      <c r="AL44" s="346"/>
      <c r="AM44" s="347"/>
      <c r="AN44" s="118"/>
      <c r="AO44" s="101" t="str">
        <f t="shared" si="19"/>
        <v/>
      </c>
      <c r="AP44" s="113" t="str">
        <f t="shared" si="20"/>
        <v>-</v>
      </c>
      <c r="AQ44" s="119"/>
      <c r="AR44" s="103" t="str">
        <f t="shared" si="21"/>
        <v/>
      </c>
      <c r="AY44" s="38" t="str">
        <f t="shared" si="1"/>
        <v/>
      </c>
      <c r="AZ44" s="38" t="str">
        <f t="shared" si="2"/>
        <v>0</v>
      </c>
      <c r="BA44" s="38" t="str">
        <f t="shared" si="3"/>
        <v>0</v>
      </c>
      <c r="BB44" s="38" t="str">
        <f t="shared" si="4"/>
        <v>0</v>
      </c>
      <c r="BC44" s="38">
        <f t="shared" si="5"/>
        <v>0</v>
      </c>
      <c r="BD44" s="38">
        <f t="shared" si="6"/>
        <v>0</v>
      </c>
      <c r="BL44" s="38" t="str">
        <f t="shared" si="7"/>
        <v/>
      </c>
      <c r="BM44" s="38" t="str">
        <f t="shared" si="8"/>
        <v/>
      </c>
      <c r="BN44" s="38" t="str">
        <f t="shared" si="9"/>
        <v/>
      </c>
      <c r="BO44" s="38" t="str">
        <f t="shared" si="10"/>
        <v/>
      </c>
      <c r="BP44" s="38" t="str">
        <f t="shared" si="11"/>
        <v/>
      </c>
      <c r="BQ44" s="38" t="str">
        <f t="shared" si="12"/>
        <v/>
      </c>
    </row>
    <row r="45" spans="1:69" ht="15.6" x14ac:dyDescent="0.3">
      <c r="A45" s="16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62"/>
      <c r="Z45" s="111"/>
      <c r="AA45" s="112"/>
      <c r="AB45" s="113" t="str">
        <f>+AB44</f>
        <v>-</v>
      </c>
      <c r="AC45" s="112"/>
      <c r="AD45" s="114"/>
      <c r="AE45" s="115"/>
      <c r="AF45" s="115"/>
      <c r="AG45" s="116"/>
      <c r="AH45" s="117"/>
      <c r="AI45" s="117"/>
      <c r="AJ45" s="342"/>
      <c r="AK45" s="343"/>
      <c r="AL45" s="346"/>
      <c r="AM45" s="347"/>
      <c r="AN45" s="118"/>
      <c r="AO45" s="101" t="str">
        <f t="shared" si="19"/>
        <v/>
      </c>
      <c r="AP45" s="113" t="str">
        <f t="shared" si="20"/>
        <v>-</v>
      </c>
      <c r="AQ45" s="119"/>
      <c r="AR45" s="103" t="str">
        <f t="shared" si="21"/>
        <v/>
      </c>
      <c r="AY45" s="38" t="str">
        <f t="shared" si="1"/>
        <v/>
      </c>
      <c r="AZ45" s="38" t="str">
        <f t="shared" si="2"/>
        <v>0</v>
      </c>
      <c r="BA45" s="38" t="str">
        <f t="shared" si="3"/>
        <v>0</v>
      </c>
      <c r="BB45" s="38" t="str">
        <f t="shared" si="4"/>
        <v>0</v>
      </c>
      <c r="BC45" s="38">
        <f t="shared" si="5"/>
        <v>0</v>
      </c>
      <c r="BD45" s="38">
        <f t="shared" si="6"/>
        <v>0</v>
      </c>
      <c r="BL45" s="38" t="str">
        <f t="shared" si="7"/>
        <v/>
      </c>
      <c r="BM45" s="38" t="str">
        <f t="shared" si="8"/>
        <v/>
      </c>
      <c r="BN45" s="38" t="str">
        <f t="shared" si="9"/>
        <v/>
      </c>
      <c r="BO45" s="38" t="str">
        <f t="shared" si="10"/>
        <v/>
      </c>
      <c r="BP45" s="38" t="str">
        <f t="shared" si="11"/>
        <v/>
      </c>
      <c r="BQ45" s="38" t="str">
        <f t="shared" si="12"/>
        <v/>
      </c>
    </row>
    <row r="46" spans="1:69" ht="16.2" thickBot="1" x14ac:dyDescent="0.35">
      <c r="A46" s="163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64"/>
      <c r="Z46" s="165"/>
      <c r="AA46" s="166"/>
      <c r="AB46" s="167" t="str">
        <f>+AB45</f>
        <v>-</v>
      </c>
      <c r="AC46" s="166"/>
      <c r="AD46" s="168"/>
      <c r="AE46" s="169"/>
      <c r="AF46" s="169"/>
      <c r="AG46" s="170"/>
      <c r="AH46" s="171"/>
      <c r="AI46" s="171"/>
      <c r="AJ46" s="344"/>
      <c r="AK46" s="345"/>
      <c r="AL46" s="352"/>
      <c r="AM46" s="353"/>
      <c r="AN46" s="172"/>
      <c r="AO46" s="101" t="str">
        <f t="shared" si="19"/>
        <v/>
      </c>
      <c r="AP46" s="113" t="str">
        <f t="shared" si="20"/>
        <v>-</v>
      </c>
      <c r="AQ46" s="119"/>
      <c r="AR46" s="103" t="str">
        <f t="shared" si="21"/>
        <v/>
      </c>
      <c r="AY46" s="38" t="str">
        <f t="shared" si="1"/>
        <v/>
      </c>
      <c r="AZ46" s="38" t="str">
        <f t="shared" si="2"/>
        <v>0</v>
      </c>
      <c r="BA46" s="38" t="str">
        <f t="shared" si="3"/>
        <v>0</v>
      </c>
      <c r="BB46" s="38" t="str">
        <f t="shared" si="4"/>
        <v>0</v>
      </c>
      <c r="BC46" s="38">
        <f t="shared" si="5"/>
        <v>0</v>
      </c>
      <c r="BD46" s="38">
        <f t="shared" si="6"/>
        <v>0</v>
      </c>
      <c r="BL46" s="38" t="str">
        <f t="shared" si="7"/>
        <v/>
      </c>
      <c r="BM46" s="38" t="str">
        <f t="shared" si="8"/>
        <v/>
      </c>
      <c r="BN46" s="38" t="str">
        <f t="shared" si="9"/>
        <v/>
      </c>
      <c r="BO46" s="38" t="str">
        <f t="shared" si="10"/>
        <v/>
      </c>
      <c r="BP46" s="38" t="str">
        <f t="shared" si="11"/>
        <v/>
      </c>
      <c r="BQ46" s="38" t="str">
        <f t="shared" si="12"/>
        <v/>
      </c>
    </row>
    <row r="47" spans="1:69" ht="18.600000000000001" thickBot="1" x14ac:dyDescent="0.35">
      <c r="A47" s="173" t="s">
        <v>69</v>
      </c>
      <c r="B47" s="174"/>
      <c r="C47" s="174"/>
      <c r="D47" s="174"/>
      <c r="E47" s="174"/>
      <c r="F47" s="174"/>
      <c r="G47" s="174">
        <f>IF(AO52&gt;AR52,AO52,IF(AO52=AR52,AO52,AR52))</f>
        <v>5</v>
      </c>
      <c r="H47" s="175" t="s">
        <v>16</v>
      </c>
      <c r="I47" s="174">
        <f>IF(AO52&gt;AR52,AR52,IF(AO52=AR52,AR52,AO52))</f>
        <v>1</v>
      </c>
      <c r="J47" s="174"/>
      <c r="K47" s="174" t="s">
        <v>70</v>
      </c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6" t="str">
        <f>BE52</f>
        <v>BLAUW</v>
      </c>
      <c r="W47" s="174"/>
      <c r="X47" s="174"/>
      <c r="Y47" s="174"/>
      <c r="Z47" s="174"/>
      <c r="AA47" s="174"/>
      <c r="AB47" s="174"/>
      <c r="AC47" s="174"/>
      <c r="AD47" s="177"/>
      <c r="AE47" s="178" t="s">
        <v>71</v>
      </c>
      <c r="AF47" s="179"/>
      <c r="AG47" s="179"/>
      <c r="AH47" s="179"/>
      <c r="AI47" s="179"/>
      <c r="AJ47" s="174"/>
      <c r="AK47" s="174"/>
      <c r="AL47" s="403" t="s">
        <v>177</v>
      </c>
      <c r="AM47" s="404"/>
      <c r="AN47" s="404"/>
      <c r="AO47" s="404"/>
      <c r="AP47" s="404"/>
      <c r="AQ47" s="404"/>
      <c r="AR47" s="405"/>
    </row>
    <row r="48" spans="1:69" x14ac:dyDescent="0.3">
      <c r="A48" s="180" t="s">
        <v>72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2"/>
      <c r="P48" s="183" t="s">
        <v>72</v>
      </c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2"/>
      <c r="AC48" s="181"/>
      <c r="AD48" s="184"/>
      <c r="AE48" s="185" t="s">
        <v>72</v>
      </c>
      <c r="AF48" s="186"/>
      <c r="AG48" s="186"/>
      <c r="AH48" s="186"/>
      <c r="AI48" s="186"/>
      <c r="AJ48" s="181"/>
      <c r="AK48" s="181"/>
      <c r="AL48" s="181"/>
      <c r="AM48" s="181"/>
      <c r="AN48" s="181"/>
      <c r="AO48" s="186"/>
      <c r="AP48" s="181"/>
      <c r="AQ48" s="181"/>
      <c r="AR48" s="187"/>
    </row>
    <row r="49" spans="1:57" x14ac:dyDescent="0.3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/>
      <c r="P49" s="191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90"/>
      <c r="AC49" s="189"/>
      <c r="AD49" s="192"/>
      <c r="AE49" s="193"/>
      <c r="AF49" s="193"/>
      <c r="AG49" s="193"/>
      <c r="AH49" s="193"/>
      <c r="AI49" s="193"/>
      <c r="AJ49" s="189"/>
      <c r="AK49" s="189"/>
      <c r="AL49" s="189"/>
      <c r="AM49" s="189"/>
      <c r="AN49" s="189"/>
      <c r="AO49" s="193"/>
      <c r="AP49" s="189"/>
      <c r="AQ49" s="189"/>
      <c r="AR49" s="194"/>
    </row>
    <row r="50" spans="1:57" ht="14.4" thickBot="1" x14ac:dyDescent="0.3">
      <c r="A50" s="195" t="s">
        <v>73</v>
      </c>
      <c r="B50" s="196"/>
      <c r="C50" s="196"/>
      <c r="D50" s="196"/>
      <c r="E50" s="196"/>
      <c r="F50" s="196"/>
      <c r="G50" s="196"/>
      <c r="H50" s="197" t="s">
        <v>74</v>
      </c>
      <c r="I50" s="196"/>
      <c r="J50" s="196"/>
      <c r="K50" s="196"/>
      <c r="L50" s="196"/>
      <c r="M50" s="196"/>
      <c r="N50" s="196"/>
      <c r="O50" s="198"/>
      <c r="P50" s="199" t="s">
        <v>73</v>
      </c>
      <c r="Q50" s="196"/>
      <c r="R50" s="196"/>
      <c r="S50" s="196"/>
      <c r="T50" s="196"/>
      <c r="U50" s="196"/>
      <c r="V50" s="196"/>
      <c r="W50" s="197" t="s">
        <v>75</v>
      </c>
      <c r="X50" s="196"/>
      <c r="Y50" s="196"/>
      <c r="Z50" s="196"/>
      <c r="AA50" s="196"/>
      <c r="AB50" s="198"/>
      <c r="AC50" s="196"/>
      <c r="AD50" s="200"/>
      <c r="AE50" s="201" t="s">
        <v>25</v>
      </c>
      <c r="AF50" s="202"/>
      <c r="AG50" s="202"/>
      <c r="AH50" s="202"/>
      <c r="AI50" s="202"/>
      <c r="AJ50" s="203"/>
      <c r="AK50" s="203"/>
      <c r="AL50" s="203"/>
      <c r="AM50" s="203"/>
      <c r="AN50" s="203"/>
      <c r="AO50" s="202"/>
      <c r="AP50" s="203"/>
      <c r="AQ50" s="203"/>
      <c r="AR50" s="204"/>
    </row>
    <row r="52" spans="1:57" hidden="1" x14ac:dyDescent="0.3">
      <c r="AO52" s="40">
        <f>IF(AO13="","",MAX(AO13:AO46))</f>
        <v>1</v>
      </c>
      <c r="AR52" s="40">
        <f>IF(AR13="","",MAX(AR13:AR46))</f>
        <v>5</v>
      </c>
      <c r="AS52" s="38" t="str">
        <f>IF(AO13="","0","1")</f>
        <v>1</v>
      </c>
      <c r="BE52" s="38" t="str">
        <f>IF(AS52="0","WIT/BLAUW",IF(AO52&gt;AR52,"WIT",IF(AO52=AR52,"GELIJK","BLAUW")))</f>
        <v>BLAUW</v>
      </c>
    </row>
  </sheetData>
  <sheetProtection sheet="1" objects="1" scenarios="1"/>
  <mergeCells count="107">
    <mergeCell ref="B30:C30"/>
    <mergeCell ref="B31:C31"/>
    <mergeCell ref="B32:C32"/>
    <mergeCell ref="B33:C33"/>
    <mergeCell ref="B34:C34"/>
    <mergeCell ref="I40:J40"/>
    <mergeCell ref="B35:C35"/>
    <mergeCell ref="B36:C36"/>
    <mergeCell ref="B37:C37"/>
    <mergeCell ref="B38:C38"/>
    <mergeCell ref="B39:C39"/>
    <mergeCell ref="B23:C23"/>
    <mergeCell ref="I24:J24"/>
    <mergeCell ref="F25:Y28"/>
    <mergeCell ref="A26:D28"/>
    <mergeCell ref="AL27:AM27"/>
    <mergeCell ref="AL28:AM28"/>
    <mergeCell ref="AL23:AM23"/>
    <mergeCell ref="AL24:AM24"/>
    <mergeCell ref="AL25:AM25"/>
    <mergeCell ref="AL26:AM26"/>
    <mergeCell ref="AJ23:AK23"/>
    <mergeCell ref="AJ24:AK24"/>
    <mergeCell ref="AJ25:AK25"/>
    <mergeCell ref="AJ26:AK26"/>
    <mergeCell ref="AJ27:AK27"/>
    <mergeCell ref="AJ28:AK28"/>
    <mergeCell ref="F10:Y12"/>
    <mergeCell ref="Z10:AD12"/>
    <mergeCell ref="AJ10:AK12"/>
    <mergeCell ref="AL10:AM12"/>
    <mergeCell ref="AN10:AR11"/>
    <mergeCell ref="AN12:AO12"/>
    <mergeCell ref="AQ12:AR12"/>
    <mergeCell ref="AL17:AM17"/>
    <mergeCell ref="AJ17:AK17"/>
    <mergeCell ref="AL22:AM22"/>
    <mergeCell ref="D3:N3"/>
    <mergeCell ref="AL13:AM13"/>
    <mergeCell ref="AL14:AM14"/>
    <mergeCell ref="AL15:AM15"/>
    <mergeCell ref="AL16:AM16"/>
    <mergeCell ref="D4:E4"/>
    <mergeCell ref="G4:I4"/>
    <mergeCell ref="A11:D12"/>
    <mergeCell ref="B14:C14"/>
    <mergeCell ref="B15:C15"/>
    <mergeCell ref="B16:C16"/>
    <mergeCell ref="AJ13:AK13"/>
    <mergeCell ref="AJ14:AK14"/>
    <mergeCell ref="AJ15:AK15"/>
    <mergeCell ref="AJ16:AK16"/>
    <mergeCell ref="B18:C18"/>
    <mergeCell ref="B19:C19"/>
    <mergeCell ref="B20:C20"/>
    <mergeCell ref="B21:C21"/>
    <mergeCell ref="B22:C22"/>
    <mergeCell ref="B17:C17"/>
    <mergeCell ref="K4:M4"/>
    <mergeCell ref="AH6:AR6"/>
    <mergeCell ref="BF4:BI6"/>
    <mergeCell ref="AL47:AR47"/>
    <mergeCell ref="AL44:AM44"/>
    <mergeCell ref="AL45:AM45"/>
    <mergeCell ref="AL46:AM46"/>
    <mergeCell ref="AL39:AM39"/>
    <mergeCell ref="AL40:AM40"/>
    <mergeCell ref="AL41:AM41"/>
    <mergeCell ref="AL42:AM42"/>
    <mergeCell ref="AL43:AM43"/>
    <mergeCell ref="AL34:AM34"/>
    <mergeCell ref="AL35:AM35"/>
    <mergeCell ref="AL36:AM36"/>
    <mergeCell ref="AL37:AM37"/>
    <mergeCell ref="AL38:AM38"/>
    <mergeCell ref="AL29:AM29"/>
    <mergeCell ref="AL30:AM30"/>
    <mergeCell ref="AL31:AM31"/>
    <mergeCell ref="AL32:AM32"/>
    <mergeCell ref="AL33:AM33"/>
    <mergeCell ref="AL18:AM18"/>
    <mergeCell ref="AL19:AM19"/>
    <mergeCell ref="AL20:AM20"/>
    <mergeCell ref="AL21:AM21"/>
    <mergeCell ref="AJ29:AK29"/>
    <mergeCell ref="AJ30:AK30"/>
    <mergeCell ref="AJ31:AK31"/>
    <mergeCell ref="AJ32:AK32"/>
    <mergeCell ref="AJ33:AK33"/>
    <mergeCell ref="AJ18:AK18"/>
    <mergeCell ref="AJ19:AK19"/>
    <mergeCell ref="AJ20:AK20"/>
    <mergeCell ref="AJ21:AK21"/>
    <mergeCell ref="AJ22:AK22"/>
    <mergeCell ref="AJ44:AK44"/>
    <mergeCell ref="AJ45:AK45"/>
    <mergeCell ref="AJ46:AK46"/>
    <mergeCell ref="AJ39:AK39"/>
    <mergeCell ref="AJ40:AK40"/>
    <mergeCell ref="AJ41:AK41"/>
    <mergeCell ref="AJ42:AK42"/>
    <mergeCell ref="AJ43:AK43"/>
    <mergeCell ref="AJ34:AK34"/>
    <mergeCell ref="AJ35:AK35"/>
    <mergeCell ref="AJ36:AK36"/>
    <mergeCell ref="AJ37:AK37"/>
    <mergeCell ref="AJ38:AK38"/>
  </mergeCells>
  <dataValidations count="1">
    <dataValidation type="list" allowBlank="1" showInputMessage="1" showErrorMessage="1" sqref="AL47:AR47" xr:uid="{C120D5EE-B18B-439A-904C-0B858EBB8048}">
      <formula1>"JA/NEE,JA,NEE"</formula1>
    </dataValidation>
  </dataValidations>
  <hyperlinks>
    <hyperlink ref="BF4:BI6" location="Wedstrijden!A1" display="Wedstrijdschema" xr:uid="{42C72C56-C234-4A74-8550-DEF85053D9CD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IV52"/>
  <sheetViews>
    <sheetView workbookViewId="0">
      <selection activeCell="BF4" sqref="BF4:BI6"/>
    </sheetView>
  </sheetViews>
  <sheetFormatPr defaultRowHeight="13.8" x14ac:dyDescent="0.3"/>
  <cols>
    <col min="1" max="6" width="2.33203125" style="38" customWidth="1"/>
    <col min="7" max="7" width="3.33203125" style="38" customWidth="1"/>
    <col min="8" max="8" width="2.33203125" style="38" customWidth="1"/>
    <col min="9" max="9" width="3.33203125" style="38" customWidth="1"/>
    <col min="10" max="25" width="2.33203125" style="38" customWidth="1"/>
    <col min="26" max="28" width="2.109375" style="38" customWidth="1"/>
    <col min="29" max="29" width="3" style="38" customWidth="1"/>
    <col min="30" max="30" width="2.109375" style="39" customWidth="1"/>
    <col min="31" max="35" width="2.33203125" style="40" customWidth="1"/>
    <col min="36" max="39" width="2.33203125" style="38" customWidth="1"/>
    <col min="40" max="40" width="2.109375" style="38" customWidth="1"/>
    <col min="41" max="41" width="3.33203125" style="40" customWidth="1"/>
    <col min="42" max="43" width="2.109375" style="38" customWidth="1"/>
    <col min="44" max="44" width="3.33203125" style="40" customWidth="1"/>
    <col min="45" max="45" width="9.109375" style="38"/>
    <col min="46" max="56" width="9.109375" style="38" hidden="1" customWidth="1"/>
    <col min="57" max="62" width="9.109375" style="38"/>
    <col min="63" max="69" width="0" style="38" hidden="1" customWidth="1"/>
    <col min="70" max="256" width="9.109375" style="38"/>
    <col min="257" max="281" width="2.33203125" style="38" customWidth="1"/>
    <col min="282" max="286" width="2.109375" style="38" customWidth="1"/>
    <col min="287" max="295" width="2.33203125" style="38" customWidth="1"/>
    <col min="296" max="300" width="2.109375" style="38" customWidth="1"/>
    <col min="301" max="512" width="9.109375" style="38"/>
    <col min="513" max="537" width="2.33203125" style="38" customWidth="1"/>
    <col min="538" max="542" width="2.109375" style="38" customWidth="1"/>
    <col min="543" max="551" width="2.33203125" style="38" customWidth="1"/>
    <col min="552" max="556" width="2.109375" style="38" customWidth="1"/>
    <col min="557" max="768" width="9.109375" style="38"/>
    <col min="769" max="793" width="2.33203125" style="38" customWidth="1"/>
    <col min="794" max="798" width="2.109375" style="38" customWidth="1"/>
    <col min="799" max="807" width="2.33203125" style="38" customWidth="1"/>
    <col min="808" max="812" width="2.109375" style="38" customWidth="1"/>
    <col min="813" max="1024" width="9.109375" style="38"/>
    <col min="1025" max="1049" width="2.33203125" style="38" customWidth="1"/>
    <col min="1050" max="1054" width="2.109375" style="38" customWidth="1"/>
    <col min="1055" max="1063" width="2.33203125" style="38" customWidth="1"/>
    <col min="1064" max="1068" width="2.109375" style="38" customWidth="1"/>
    <col min="1069" max="1280" width="9.109375" style="38"/>
    <col min="1281" max="1305" width="2.33203125" style="38" customWidth="1"/>
    <col min="1306" max="1310" width="2.109375" style="38" customWidth="1"/>
    <col min="1311" max="1319" width="2.33203125" style="38" customWidth="1"/>
    <col min="1320" max="1324" width="2.109375" style="38" customWidth="1"/>
    <col min="1325" max="1536" width="9.109375" style="38"/>
    <col min="1537" max="1561" width="2.33203125" style="38" customWidth="1"/>
    <col min="1562" max="1566" width="2.109375" style="38" customWidth="1"/>
    <col min="1567" max="1575" width="2.33203125" style="38" customWidth="1"/>
    <col min="1576" max="1580" width="2.109375" style="38" customWidth="1"/>
    <col min="1581" max="1792" width="9.109375" style="38"/>
    <col min="1793" max="1817" width="2.33203125" style="38" customWidth="1"/>
    <col min="1818" max="1822" width="2.109375" style="38" customWidth="1"/>
    <col min="1823" max="1831" width="2.33203125" style="38" customWidth="1"/>
    <col min="1832" max="1836" width="2.109375" style="38" customWidth="1"/>
    <col min="1837" max="2048" width="9.109375" style="38"/>
    <col min="2049" max="2073" width="2.33203125" style="38" customWidth="1"/>
    <col min="2074" max="2078" width="2.109375" style="38" customWidth="1"/>
    <col min="2079" max="2087" width="2.33203125" style="38" customWidth="1"/>
    <col min="2088" max="2092" width="2.109375" style="38" customWidth="1"/>
    <col min="2093" max="2304" width="9.109375" style="38"/>
    <col min="2305" max="2329" width="2.33203125" style="38" customWidth="1"/>
    <col min="2330" max="2334" width="2.109375" style="38" customWidth="1"/>
    <col min="2335" max="2343" width="2.33203125" style="38" customWidth="1"/>
    <col min="2344" max="2348" width="2.109375" style="38" customWidth="1"/>
    <col min="2349" max="2560" width="9.109375" style="38"/>
    <col min="2561" max="2585" width="2.33203125" style="38" customWidth="1"/>
    <col min="2586" max="2590" width="2.109375" style="38" customWidth="1"/>
    <col min="2591" max="2599" width="2.33203125" style="38" customWidth="1"/>
    <col min="2600" max="2604" width="2.109375" style="38" customWidth="1"/>
    <col min="2605" max="2816" width="9.109375" style="38"/>
    <col min="2817" max="2841" width="2.33203125" style="38" customWidth="1"/>
    <col min="2842" max="2846" width="2.109375" style="38" customWidth="1"/>
    <col min="2847" max="2855" width="2.33203125" style="38" customWidth="1"/>
    <col min="2856" max="2860" width="2.109375" style="38" customWidth="1"/>
    <col min="2861" max="3072" width="9.109375" style="38"/>
    <col min="3073" max="3097" width="2.33203125" style="38" customWidth="1"/>
    <col min="3098" max="3102" width="2.109375" style="38" customWidth="1"/>
    <col min="3103" max="3111" width="2.33203125" style="38" customWidth="1"/>
    <col min="3112" max="3116" width="2.109375" style="38" customWidth="1"/>
    <col min="3117" max="3328" width="9.109375" style="38"/>
    <col min="3329" max="3353" width="2.33203125" style="38" customWidth="1"/>
    <col min="3354" max="3358" width="2.109375" style="38" customWidth="1"/>
    <col min="3359" max="3367" width="2.33203125" style="38" customWidth="1"/>
    <col min="3368" max="3372" width="2.109375" style="38" customWidth="1"/>
    <col min="3373" max="3584" width="9.109375" style="38"/>
    <col min="3585" max="3609" width="2.33203125" style="38" customWidth="1"/>
    <col min="3610" max="3614" width="2.109375" style="38" customWidth="1"/>
    <col min="3615" max="3623" width="2.33203125" style="38" customWidth="1"/>
    <col min="3624" max="3628" width="2.109375" style="38" customWidth="1"/>
    <col min="3629" max="3840" width="9.109375" style="38"/>
    <col min="3841" max="3865" width="2.33203125" style="38" customWidth="1"/>
    <col min="3866" max="3870" width="2.109375" style="38" customWidth="1"/>
    <col min="3871" max="3879" width="2.33203125" style="38" customWidth="1"/>
    <col min="3880" max="3884" width="2.109375" style="38" customWidth="1"/>
    <col min="3885" max="4096" width="9.109375" style="38"/>
    <col min="4097" max="4121" width="2.33203125" style="38" customWidth="1"/>
    <col min="4122" max="4126" width="2.109375" style="38" customWidth="1"/>
    <col min="4127" max="4135" width="2.33203125" style="38" customWidth="1"/>
    <col min="4136" max="4140" width="2.109375" style="38" customWidth="1"/>
    <col min="4141" max="4352" width="9.109375" style="38"/>
    <col min="4353" max="4377" width="2.33203125" style="38" customWidth="1"/>
    <col min="4378" max="4382" width="2.109375" style="38" customWidth="1"/>
    <col min="4383" max="4391" width="2.33203125" style="38" customWidth="1"/>
    <col min="4392" max="4396" width="2.109375" style="38" customWidth="1"/>
    <col min="4397" max="4608" width="9.109375" style="38"/>
    <col min="4609" max="4633" width="2.33203125" style="38" customWidth="1"/>
    <col min="4634" max="4638" width="2.109375" style="38" customWidth="1"/>
    <col min="4639" max="4647" width="2.33203125" style="38" customWidth="1"/>
    <col min="4648" max="4652" width="2.109375" style="38" customWidth="1"/>
    <col min="4653" max="4864" width="9.109375" style="38"/>
    <col min="4865" max="4889" width="2.33203125" style="38" customWidth="1"/>
    <col min="4890" max="4894" width="2.109375" style="38" customWidth="1"/>
    <col min="4895" max="4903" width="2.33203125" style="38" customWidth="1"/>
    <col min="4904" max="4908" width="2.109375" style="38" customWidth="1"/>
    <col min="4909" max="5120" width="9.109375" style="38"/>
    <col min="5121" max="5145" width="2.33203125" style="38" customWidth="1"/>
    <col min="5146" max="5150" width="2.109375" style="38" customWidth="1"/>
    <col min="5151" max="5159" width="2.33203125" style="38" customWidth="1"/>
    <col min="5160" max="5164" width="2.109375" style="38" customWidth="1"/>
    <col min="5165" max="5376" width="9.109375" style="38"/>
    <col min="5377" max="5401" width="2.33203125" style="38" customWidth="1"/>
    <col min="5402" max="5406" width="2.109375" style="38" customWidth="1"/>
    <col min="5407" max="5415" width="2.33203125" style="38" customWidth="1"/>
    <col min="5416" max="5420" width="2.109375" style="38" customWidth="1"/>
    <col min="5421" max="5632" width="9.109375" style="38"/>
    <col min="5633" max="5657" width="2.33203125" style="38" customWidth="1"/>
    <col min="5658" max="5662" width="2.109375" style="38" customWidth="1"/>
    <col min="5663" max="5671" width="2.33203125" style="38" customWidth="1"/>
    <col min="5672" max="5676" width="2.109375" style="38" customWidth="1"/>
    <col min="5677" max="5888" width="9.109375" style="38"/>
    <col min="5889" max="5913" width="2.33203125" style="38" customWidth="1"/>
    <col min="5914" max="5918" width="2.109375" style="38" customWidth="1"/>
    <col min="5919" max="5927" width="2.33203125" style="38" customWidth="1"/>
    <col min="5928" max="5932" width="2.109375" style="38" customWidth="1"/>
    <col min="5933" max="6144" width="9.109375" style="38"/>
    <col min="6145" max="6169" width="2.33203125" style="38" customWidth="1"/>
    <col min="6170" max="6174" width="2.109375" style="38" customWidth="1"/>
    <col min="6175" max="6183" width="2.33203125" style="38" customWidth="1"/>
    <col min="6184" max="6188" width="2.109375" style="38" customWidth="1"/>
    <col min="6189" max="6400" width="9.109375" style="38"/>
    <col min="6401" max="6425" width="2.33203125" style="38" customWidth="1"/>
    <col min="6426" max="6430" width="2.109375" style="38" customWidth="1"/>
    <col min="6431" max="6439" width="2.33203125" style="38" customWidth="1"/>
    <col min="6440" max="6444" width="2.109375" style="38" customWidth="1"/>
    <col min="6445" max="6656" width="9.109375" style="38"/>
    <col min="6657" max="6681" width="2.33203125" style="38" customWidth="1"/>
    <col min="6682" max="6686" width="2.109375" style="38" customWidth="1"/>
    <col min="6687" max="6695" width="2.33203125" style="38" customWidth="1"/>
    <col min="6696" max="6700" width="2.109375" style="38" customWidth="1"/>
    <col min="6701" max="6912" width="9.109375" style="38"/>
    <col min="6913" max="6937" width="2.33203125" style="38" customWidth="1"/>
    <col min="6938" max="6942" width="2.109375" style="38" customWidth="1"/>
    <col min="6943" max="6951" width="2.33203125" style="38" customWidth="1"/>
    <col min="6952" max="6956" width="2.109375" style="38" customWidth="1"/>
    <col min="6957" max="7168" width="9.109375" style="38"/>
    <col min="7169" max="7193" width="2.33203125" style="38" customWidth="1"/>
    <col min="7194" max="7198" width="2.109375" style="38" customWidth="1"/>
    <col min="7199" max="7207" width="2.33203125" style="38" customWidth="1"/>
    <col min="7208" max="7212" width="2.109375" style="38" customWidth="1"/>
    <col min="7213" max="7424" width="9.109375" style="38"/>
    <col min="7425" max="7449" width="2.33203125" style="38" customWidth="1"/>
    <col min="7450" max="7454" width="2.109375" style="38" customWidth="1"/>
    <col min="7455" max="7463" width="2.33203125" style="38" customWidth="1"/>
    <col min="7464" max="7468" width="2.109375" style="38" customWidth="1"/>
    <col min="7469" max="7680" width="9.109375" style="38"/>
    <col min="7681" max="7705" width="2.33203125" style="38" customWidth="1"/>
    <col min="7706" max="7710" width="2.109375" style="38" customWidth="1"/>
    <col min="7711" max="7719" width="2.33203125" style="38" customWidth="1"/>
    <col min="7720" max="7724" width="2.109375" style="38" customWidth="1"/>
    <col min="7725" max="7936" width="9.109375" style="38"/>
    <col min="7937" max="7961" width="2.33203125" style="38" customWidth="1"/>
    <col min="7962" max="7966" width="2.109375" style="38" customWidth="1"/>
    <col min="7967" max="7975" width="2.33203125" style="38" customWidth="1"/>
    <col min="7976" max="7980" width="2.109375" style="38" customWidth="1"/>
    <col min="7981" max="8192" width="9.109375" style="38"/>
    <col min="8193" max="8217" width="2.33203125" style="38" customWidth="1"/>
    <col min="8218" max="8222" width="2.109375" style="38" customWidth="1"/>
    <col min="8223" max="8231" width="2.33203125" style="38" customWidth="1"/>
    <col min="8232" max="8236" width="2.109375" style="38" customWidth="1"/>
    <col min="8237" max="8448" width="9.109375" style="38"/>
    <col min="8449" max="8473" width="2.33203125" style="38" customWidth="1"/>
    <col min="8474" max="8478" width="2.109375" style="38" customWidth="1"/>
    <col min="8479" max="8487" width="2.33203125" style="38" customWidth="1"/>
    <col min="8488" max="8492" width="2.109375" style="38" customWidth="1"/>
    <col min="8493" max="8704" width="9.109375" style="38"/>
    <col min="8705" max="8729" width="2.33203125" style="38" customWidth="1"/>
    <col min="8730" max="8734" width="2.109375" style="38" customWidth="1"/>
    <col min="8735" max="8743" width="2.33203125" style="38" customWidth="1"/>
    <col min="8744" max="8748" width="2.109375" style="38" customWidth="1"/>
    <col min="8749" max="8960" width="9.109375" style="38"/>
    <col min="8961" max="8985" width="2.33203125" style="38" customWidth="1"/>
    <col min="8986" max="8990" width="2.109375" style="38" customWidth="1"/>
    <col min="8991" max="8999" width="2.33203125" style="38" customWidth="1"/>
    <col min="9000" max="9004" width="2.109375" style="38" customWidth="1"/>
    <col min="9005" max="9216" width="9.109375" style="38"/>
    <col min="9217" max="9241" width="2.33203125" style="38" customWidth="1"/>
    <col min="9242" max="9246" width="2.109375" style="38" customWidth="1"/>
    <col min="9247" max="9255" width="2.33203125" style="38" customWidth="1"/>
    <col min="9256" max="9260" width="2.109375" style="38" customWidth="1"/>
    <col min="9261" max="9472" width="9.109375" style="38"/>
    <col min="9473" max="9497" width="2.33203125" style="38" customWidth="1"/>
    <col min="9498" max="9502" width="2.109375" style="38" customWidth="1"/>
    <col min="9503" max="9511" width="2.33203125" style="38" customWidth="1"/>
    <col min="9512" max="9516" width="2.109375" style="38" customWidth="1"/>
    <col min="9517" max="9728" width="9.109375" style="38"/>
    <col min="9729" max="9753" width="2.33203125" style="38" customWidth="1"/>
    <col min="9754" max="9758" width="2.109375" style="38" customWidth="1"/>
    <col min="9759" max="9767" width="2.33203125" style="38" customWidth="1"/>
    <col min="9768" max="9772" width="2.109375" style="38" customWidth="1"/>
    <col min="9773" max="9984" width="9.109375" style="38"/>
    <col min="9985" max="10009" width="2.33203125" style="38" customWidth="1"/>
    <col min="10010" max="10014" width="2.109375" style="38" customWidth="1"/>
    <col min="10015" max="10023" width="2.33203125" style="38" customWidth="1"/>
    <col min="10024" max="10028" width="2.109375" style="38" customWidth="1"/>
    <col min="10029" max="10240" width="9.109375" style="38"/>
    <col min="10241" max="10265" width="2.33203125" style="38" customWidth="1"/>
    <col min="10266" max="10270" width="2.109375" style="38" customWidth="1"/>
    <col min="10271" max="10279" width="2.33203125" style="38" customWidth="1"/>
    <col min="10280" max="10284" width="2.109375" style="38" customWidth="1"/>
    <col min="10285" max="10496" width="9.109375" style="38"/>
    <col min="10497" max="10521" width="2.33203125" style="38" customWidth="1"/>
    <col min="10522" max="10526" width="2.109375" style="38" customWidth="1"/>
    <col min="10527" max="10535" width="2.33203125" style="38" customWidth="1"/>
    <col min="10536" max="10540" width="2.109375" style="38" customWidth="1"/>
    <col min="10541" max="10752" width="9.109375" style="38"/>
    <col min="10753" max="10777" width="2.33203125" style="38" customWidth="1"/>
    <col min="10778" max="10782" width="2.109375" style="38" customWidth="1"/>
    <col min="10783" max="10791" width="2.33203125" style="38" customWidth="1"/>
    <col min="10792" max="10796" width="2.109375" style="38" customWidth="1"/>
    <col min="10797" max="11008" width="9.109375" style="38"/>
    <col min="11009" max="11033" width="2.33203125" style="38" customWidth="1"/>
    <col min="11034" max="11038" width="2.109375" style="38" customWidth="1"/>
    <col min="11039" max="11047" width="2.33203125" style="38" customWidth="1"/>
    <col min="11048" max="11052" width="2.109375" style="38" customWidth="1"/>
    <col min="11053" max="11264" width="9.109375" style="38"/>
    <col min="11265" max="11289" width="2.33203125" style="38" customWidth="1"/>
    <col min="11290" max="11294" width="2.109375" style="38" customWidth="1"/>
    <col min="11295" max="11303" width="2.33203125" style="38" customWidth="1"/>
    <col min="11304" max="11308" width="2.109375" style="38" customWidth="1"/>
    <col min="11309" max="11520" width="9.109375" style="38"/>
    <col min="11521" max="11545" width="2.33203125" style="38" customWidth="1"/>
    <col min="11546" max="11550" width="2.109375" style="38" customWidth="1"/>
    <col min="11551" max="11559" width="2.33203125" style="38" customWidth="1"/>
    <col min="11560" max="11564" width="2.109375" style="38" customWidth="1"/>
    <col min="11565" max="11776" width="9.109375" style="38"/>
    <col min="11777" max="11801" width="2.33203125" style="38" customWidth="1"/>
    <col min="11802" max="11806" width="2.109375" style="38" customWidth="1"/>
    <col min="11807" max="11815" width="2.33203125" style="38" customWidth="1"/>
    <col min="11816" max="11820" width="2.109375" style="38" customWidth="1"/>
    <col min="11821" max="12032" width="9.109375" style="38"/>
    <col min="12033" max="12057" width="2.33203125" style="38" customWidth="1"/>
    <col min="12058" max="12062" width="2.109375" style="38" customWidth="1"/>
    <col min="12063" max="12071" width="2.33203125" style="38" customWidth="1"/>
    <col min="12072" max="12076" width="2.109375" style="38" customWidth="1"/>
    <col min="12077" max="12288" width="9.109375" style="38"/>
    <col min="12289" max="12313" width="2.33203125" style="38" customWidth="1"/>
    <col min="12314" max="12318" width="2.109375" style="38" customWidth="1"/>
    <col min="12319" max="12327" width="2.33203125" style="38" customWidth="1"/>
    <col min="12328" max="12332" width="2.109375" style="38" customWidth="1"/>
    <col min="12333" max="12544" width="9.109375" style="38"/>
    <col min="12545" max="12569" width="2.33203125" style="38" customWidth="1"/>
    <col min="12570" max="12574" width="2.109375" style="38" customWidth="1"/>
    <col min="12575" max="12583" width="2.33203125" style="38" customWidth="1"/>
    <col min="12584" max="12588" width="2.109375" style="38" customWidth="1"/>
    <col min="12589" max="12800" width="9.109375" style="38"/>
    <col min="12801" max="12825" width="2.33203125" style="38" customWidth="1"/>
    <col min="12826" max="12830" width="2.109375" style="38" customWidth="1"/>
    <col min="12831" max="12839" width="2.33203125" style="38" customWidth="1"/>
    <col min="12840" max="12844" width="2.109375" style="38" customWidth="1"/>
    <col min="12845" max="13056" width="9.109375" style="38"/>
    <col min="13057" max="13081" width="2.33203125" style="38" customWidth="1"/>
    <col min="13082" max="13086" width="2.109375" style="38" customWidth="1"/>
    <col min="13087" max="13095" width="2.33203125" style="38" customWidth="1"/>
    <col min="13096" max="13100" width="2.109375" style="38" customWidth="1"/>
    <col min="13101" max="13312" width="9.109375" style="38"/>
    <col min="13313" max="13337" width="2.33203125" style="38" customWidth="1"/>
    <col min="13338" max="13342" width="2.109375" style="38" customWidth="1"/>
    <col min="13343" max="13351" width="2.33203125" style="38" customWidth="1"/>
    <col min="13352" max="13356" width="2.109375" style="38" customWidth="1"/>
    <col min="13357" max="13568" width="9.109375" style="38"/>
    <col min="13569" max="13593" width="2.33203125" style="38" customWidth="1"/>
    <col min="13594" max="13598" width="2.109375" style="38" customWidth="1"/>
    <col min="13599" max="13607" width="2.33203125" style="38" customWidth="1"/>
    <col min="13608" max="13612" width="2.109375" style="38" customWidth="1"/>
    <col min="13613" max="13824" width="9.109375" style="38"/>
    <col min="13825" max="13849" width="2.33203125" style="38" customWidth="1"/>
    <col min="13850" max="13854" width="2.109375" style="38" customWidth="1"/>
    <col min="13855" max="13863" width="2.33203125" style="38" customWidth="1"/>
    <col min="13864" max="13868" width="2.109375" style="38" customWidth="1"/>
    <col min="13869" max="14080" width="9.109375" style="38"/>
    <col min="14081" max="14105" width="2.33203125" style="38" customWidth="1"/>
    <col min="14106" max="14110" width="2.109375" style="38" customWidth="1"/>
    <col min="14111" max="14119" width="2.33203125" style="38" customWidth="1"/>
    <col min="14120" max="14124" width="2.109375" style="38" customWidth="1"/>
    <col min="14125" max="14336" width="9.109375" style="38"/>
    <col min="14337" max="14361" width="2.33203125" style="38" customWidth="1"/>
    <col min="14362" max="14366" width="2.109375" style="38" customWidth="1"/>
    <col min="14367" max="14375" width="2.33203125" style="38" customWidth="1"/>
    <col min="14376" max="14380" width="2.109375" style="38" customWidth="1"/>
    <col min="14381" max="14592" width="9.109375" style="38"/>
    <col min="14593" max="14617" width="2.33203125" style="38" customWidth="1"/>
    <col min="14618" max="14622" width="2.109375" style="38" customWidth="1"/>
    <col min="14623" max="14631" width="2.33203125" style="38" customWidth="1"/>
    <col min="14632" max="14636" width="2.109375" style="38" customWidth="1"/>
    <col min="14637" max="14848" width="9.109375" style="38"/>
    <col min="14849" max="14873" width="2.33203125" style="38" customWidth="1"/>
    <col min="14874" max="14878" width="2.109375" style="38" customWidth="1"/>
    <col min="14879" max="14887" width="2.33203125" style="38" customWidth="1"/>
    <col min="14888" max="14892" width="2.109375" style="38" customWidth="1"/>
    <col min="14893" max="15104" width="9.109375" style="38"/>
    <col min="15105" max="15129" width="2.33203125" style="38" customWidth="1"/>
    <col min="15130" max="15134" width="2.109375" style="38" customWidth="1"/>
    <col min="15135" max="15143" width="2.33203125" style="38" customWidth="1"/>
    <col min="15144" max="15148" width="2.109375" style="38" customWidth="1"/>
    <col min="15149" max="15360" width="9.109375" style="38"/>
    <col min="15361" max="15385" width="2.33203125" style="38" customWidth="1"/>
    <col min="15386" max="15390" width="2.109375" style="38" customWidth="1"/>
    <col min="15391" max="15399" width="2.33203125" style="38" customWidth="1"/>
    <col min="15400" max="15404" width="2.109375" style="38" customWidth="1"/>
    <col min="15405" max="15616" width="9.109375" style="38"/>
    <col min="15617" max="15641" width="2.33203125" style="38" customWidth="1"/>
    <col min="15642" max="15646" width="2.109375" style="38" customWidth="1"/>
    <col min="15647" max="15655" width="2.33203125" style="38" customWidth="1"/>
    <col min="15656" max="15660" width="2.109375" style="38" customWidth="1"/>
    <col min="15661" max="15872" width="9.109375" style="38"/>
    <col min="15873" max="15897" width="2.33203125" style="38" customWidth="1"/>
    <col min="15898" max="15902" width="2.109375" style="38" customWidth="1"/>
    <col min="15903" max="15911" width="2.33203125" style="38" customWidth="1"/>
    <col min="15912" max="15916" width="2.109375" style="38" customWidth="1"/>
    <col min="15917" max="16128" width="9.109375" style="38"/>
    <col min="16129" max="16153" width="2.33203125" style="38" customWidth="1"/>
    <col min="16154" max="16158" width="2.109375" style="38" customWidth="1"/>
    <col min="16159" max="16167" width="2.33203125" style="38" customWidth="1"/>
    <col min="16168" max="16172" width="2.109375" style="38" customWidth="1"/>
    <col min="16173" max="16384" width="9.109375" style="38"/>
  </cols>
  <sheetData>
    <row r="1" spans="1:256" ht="20.399999999999999" x14ac:dyDescent="0.3">
      <c r="A1" s="37" t="s">
        <v>40</v>
      </c>
      <c r="AO1" s="41">
        <v>0</v>
      </c>
      <c r="AP1" s="42"/>
      <c r="AQ1" s="42"/>
      <c r="AR1" s="41">
        <v>0</v>
      </c>
      <c r="AV1" s="43">
        <v>1.3888888888888888E-2</v>
      </c>
    </row>
    <row r="2" spans="1:256" x14ac:dyDescent="0.3">
      <c r="A2" s="38" t="s">
        <v>42</v>
      </c>
      <c r="E2" s="38" t="s">
        <v>76</v>
      </c>
      <c r="P2" s="44" t="s">
        <v>22</v>
      </c>
      <c r="Q2" s="45"/>
      <c r="R2" s="45"/>
      <c r="S2" s="45"/>
      <c r="T2" s="45"/>
      <c r="U2" s="45"/>
      <c r="V2" s="45"/>
      <c r="W2" s="45" t="s">
        <v>3</v>
      </c>
      <c r="X2" s="45"/>
      <c r="Y2" s="46" t="s">
        <v>41</v>
      </c>
      <c r="Z2" s="45"/>
      <c r="AA2" s="45"/>
      <c r="AB2" s="45"/>
      <c r="AC2" s="45"/>
      <c r="AD2" s="47"/>
      <c r="AE2" s="48"/>
      <c r="AF2" s="48"/>
      <c r="AG2" s="49"/>
    </row>
    <row r="3" spans="1:256" ht="15" thickBot="1" x14ac:dyDescent="0.35">
      <c r="A3" s="38" t="s">
        <v>19</v>
      </c>
      <c r="D3" s="415">
        <f>Wedstrijden!I2</f>
        <v>45732</v>
      </c>
      <c r="E3" s="416"/>
      <c r="F3" s="416"/>
      <c r="G3" s="416"/>
      <c r="H3" s="416"/>
      <c r="I3" s="416"/>
      <c r="J3" s="416"/>
      <c r="K3" s="416"/>
      <c r="L3" s="416"/>
      <c r="M3" s="416"/>
      <c r="N3" s="417"/>
      <c r="P3" s="50" t="s">
        <v>18</v>
      </c>
      <c r="Q3" s="51" t="s">
        <v>43</v>
      </c>
      <c r="W3" s="38" t="s">
        <v>0</v>
      </c>
      <c r="Y3" s="51" t="s">
        <v>44</v>
      </c>
      <c r="AG3" s="52"/>
    </row>
    <row r="4" spans="1:256" x14ac:dyDescent="0.3">
      <c r="A4" s="38" t="s">
        <v>20</v>
      </c>
      <c r="D4" s="418">
        <v>8</v>
      </c>
      <c r="E4" s="418"/>
      <c r="F4" s="53"/>
      <c r="G4" s="419">
        <f>VLOOKUP(D4,Wedstrijden!A6:B57,2,0)</f>
        <v>0.59027777777777779</v>
      </c>
      <c r="H4" s="419"/>
      <c r="I4" s="419"/>
      <c r="J4" s="54" t="s">
        <v>16</v>
      </c>
      <c r="K4" s="419">
        <f>G4+AV1</f>
        <v>0.60416666666666663</v>
      </c>
      <c r="L4" s="419"/>
      <c r="M4" s="419"/>
      <c r="N4" s="53"/>
      <c r="P4" s="50" t="s">
        <v>17</v>
      </c>
      <c r="Q4" s="51" t="s">
        <v>45</v>
      </c>
      <c r="W4" s="38" t="s">
        <v>9</v>
      </c>
      <c r="Y4" s="51" t="s">
        <v>46</v>
      </c>
      <c r="AG4" s="52"/>
      <c r="BF4" s="406" t="s">
        <v>102</v>
      </c>
      <c r="BG4" s="407"/>
      <c r="BH4" s="407"/>
      <c r="BI4" s="408"/>
    </row>
    <row r="5" spans="1:256" x14ac:dyDescent="0.3">
      <c r="A5" s="38" t="s">
        <v>164</v>
      </c>
      <c r="D5" s="260" t="str">
        <f>VLOOKUP(D4,Wedstrijden!A6:D20,4,0)</f>
        <v>A</v>
      </c>
      <c r="P5" s="50" t="s">
        <v>10</v>
      </c>
      <c r="Q5" s="51" t="s">
        <v>47</v>
      </c>
      <c r="W5" s="38" t="s">
        <v>12</v>
      </c>
      <c r="Y5" s="51" t="s">
        <v>48</v>
      </c>
      <c r="AG5" s="52"/>
      <c r="BF5" s="409"/>
      <c r="BG5" s="410"/>
      <c r="BH5" s="410"/>
      <c r="BI5" s="411"/>
    </row>
    <row r="6" spans="1:256" ht="14.4" thickBot="1" x14ac:dyDescent="0.2">
      <c r="A6" s="38" t="s">
        <v>21</v>
      </c>
      <c r="D6" s="55" t="str">
        <f>Wedstrijden!K2</f>
        <v>Den Bosch</v>
      </c>
      <c r="P6" s="50" t="s">
        <v>11</v>
      </c>
      <c r="Q6" s="51" t="s">
        <v>49</v>
      </c>
      <c r="W6" s="38" t="s">
        <v>13</v>
      </c>
      <c r="Y6" s="51" t="s">
        <v>50</v>
      </c>
      <c r="AG6" s="52"/>
      <c r="AH6" s="354" t="s">
        <v>51</v>
      </c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BF6" s="412"/>
      <c r="BG6" s="413"/>
      <c r="BH6" s="413"/>
      <c r="BI6" s="414"/>
    </row>
    <row r="7" spans="1:256" x14ac:dyDescent="0.2">
      <c r="A7" s="56" t="s">
        <v>52</v>
      </c>
      <c r="B7" s="57"/>
      <c r="C7" s="57"/>
      <c r="D7" s="57"/>
      <c r="E7" s="58" t="s">
        <v>53</v>
      </c>
      <c r="F7" s="57"/>
      <c r="G7" s="59" t="str">
        <f>VLOOKUP(D4,Wedstrijden!A6:L57,5,0)</f>
        <v>De Tubanten 1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 t="s">
        <v>54</v>
      </c>
      <c r="X7" s="57"/>
      <c r="Y7" s="57"/>
      <c r="Z7" s="58" t="s">
        <v>55</v>
      </c>
      <c r="AA7" s="58"/>
      <c r="AB7" s="57"/>
      <c r="AC7" s="59" t="str">
        <f>VLOOKUP(D4,Wedstrijden!A6:L57,9,0)</f>
        <v>VZ&amp;PC Nautilus 2</v>
      </c>
      <c r="AD7" s="60"/>
      <c r="AE7" s="61"/>
      <c r="AF7" s="61"/>
      <c r="AG7" s="61"/>
      <c r="AH7" s="61"/>
      <c r="AI7" s="61"/>
      <c r="AJ7" s="57"/>
      <c r="AK7" s="57"/>
      <c r="AL7" s="57"/>
      <c r="AM7" s="57"/>
      <c r="AN7" s="57"/>
      <c r="AO7" s="61"/>
      <c r="AP7" s="57"/>
      <c r="AQ7" s="57"/>
      <c r="AR7" s="62"/>
    </row>
    <row r="8" spans="1:256" x14ac:dyDescent="0.3">
      <c r="A8" s="63" t="s">
        <v>56</v>
      </c>
      <c r="B8" s="64"/>
      <c r="C8" s="64"/>
      <c r="D8" s="64"/>
      <c r="E8" s="64"/>
      <c r="F8" s="64"/>
      <c r="G8" s="64"/>
      <c r="H8" s="64"/>
      <c r="I8" s="64"/>
      <c r="J8" s="65" t="str">
        <f>VLOOKUP(D4,Wedstrijden!A6:P343,13,0)</f>
        <v>Hans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 t="s">
        <v>57</v>
      </c>
      <c r="X8" s="64"/>
      <c r="Y8" s="64"/>
      <c r="Z8" s="66" t="str">
        <f>VLOOKUP(D4,Wedstrijden!A6:N170,14,0)</f>
        <v>Jos</v>
      </c>
      <c r="AA8" s="64"/>
      <c r="AB8" s="64"/>
      <c r="AC8" s="64"/>
      <c r="AD8" s="67"/>
      <c r="AE8" s="68"/>
      <c r="AF8" s="68"/>
      <c r="AG8" s="68"/>
      <c r="AH8" s="68"/>
      <c r="AI8" s="68"/>
      <c r="AJ8" s="69" t="s">
        <v>17</v>
      </c>
      <c r="AK8" s="64"/>
      <c r="AL8" s="64"/>
      <c r="AM8" s="64"/>
      <c r="AN8" s="64"/>
      <c r="AO8" s="68"/>
      <c r="AP8" s="64"/>
      <c r="AQ8" s="64"/>
      <c r="AR8" s="70"/>
    </row>
    <row r="9" spans="1:256" ht="14.4" thickBot="1" x14ac:dyDescent="0.35">
      <c r="A9" s="71" t="s">
        <v>58</v>
      </c>
      <c r="B9" s="72"/>
      <c r="C9" s="72"/>
      <c r="D9" s="72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 t="s">
        <v>59</v>
      </c>
      <c r="X9" s="72"/>
      <c r="Y9" s="72"/>
      <c r="Z9" s="72"/>
      <c r="AA9" s="72"/>
      <c r="AB9" s="73"/>
      <c r="AC9" s="73"/>
      <c r="AD9" s="75"/>
      <c r="AE9" s="76"/>
      <c r="AF9" s="76"/>
      <c r="AG9" s="76"/>
      <c r="AH9" s="76"/>
      <c r="AI9" s="76"/>
      <c r="AJ9" s="73"/>
      <c r="AK9" s="73"/>
      <c r="AL9" s="73"/>
      <c r="AM9" s="73"/>
      <c r="AN9" s="73"/>
      <c r="AO9" s="76"/>
      <c r="AP9" s="73"/>
      <c r="AQ9" s="73"/>
      <c r="AR9" s="77"/>
    </row>
    <row r="10" spans="1:256" ht="15" x14ac:dyDescent="0.3">
      <c r="A10" s="78" t="s">
        <v>60</v>
      </c>
      <c r="B10" s="79"/>
      <c r="C10" s="79"/>
      <c r="D10" s="79"/>
      <c r="E10" s="79"/>
      <c r="F10" s="356" t="str">
        <f>+G7</f>
        <v>De Tubanten 1</v>
      </c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7"/>
      <c r="Z10" s="362" t="s">
        <v>8</v>
      </c>
      <c r="AA10" s="363"/>
      <c r="AB10" s="363"/>
      <c r="AC10" s="363"/>
      <c r="AD10" s="364"/>
      <c r="AE10" s="80"/>
      <c r="AF10" s="80"/>
      <c r="AG10" s="80"/>
      <c r="AH10" s="80" t="s">
        <v>61</v>
      </c>
      <c r="AI10" s="80" t="s">
        <v>61</v>
      </c>
      <c r="AJ10" s="371" t="s">
        <v>14</v>
      </c>
      <c r="AK10" s="372"/>
      <c r="AL10" s="377" t="s">
        <v>62</v>
      </c>
      <c r="AM10" s="378"/>
      <c r="AN10" s="383" t="s">
        <v>15</v>
      </c>
      <c r="AO10" s="384"/>
      <c r="AP10" s="384"/>
      <c r="AQ10" s="384"/>
      <c r="AR10" s="385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2" t="s">
        <v>136</v>
      </c>
      <c r="BL10" s="82" t="str">
        <f>CONCATENATE($BL$12&amp;BK10&amp;"x")</f>
        <v>swwx</v>
      </c>
      <c r="BM10" s="82" t="str">
        <f>CONCATENATE($BM$12&amp;BK10&amp;"x")</f>
        <v>dwx</v>
      </c>
      <c r="BN10" s="82" t="str">
        <f>CONCATENATE($BN$12&amp;BK10&amp;"x")</f>
        <v>pwx</v>
      </c>
      <c r="BO10" s="82" t="str">
        <f>CONCATENATE($BO$12&amp;BK10&amp;"x")</f>
        <v>umvwx</v>
      </c>
      <c r="BP10" s="82" t="str">
        <f>CONCATENATE($BP$12&amp;BK10&amp;"x")</f>
        <v>uzvwx</v>
      </c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1" spans="1:256" x14ac:dyDescent="0.3">
      <c r="A11" s="393" t="s">
        <v>7</v>
      </c>
      <c r="B11" s="394"/>
      <c r="C11" s="394"/>
      <c r="D11" s="394"/>
      <c r="E11" s="81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  <c r="Z11" s="365"/>
      <c r="AA11" s="366"/>
      <c r="AB11" s="366"/>
      <c r="AC11" s="366"/>
      <c r="AD11" s="367"/>
      <c r="AE11" s="83" t="s">
        <v>63</v>
      </c>
      <c r="AF11" s="83"/>
      <c r="AG11" s="83"/>
      <c r="AH11" s="83" t="s">
        <v>64</v>
      </c>
      <c r="AI11" s="83" t="s">
        <v>65</v>
      </c>
      <c r="AJ11" s="373"/>
      <c r="AK11" s="374"/>
      <c r="AL11" s="379"/>
      <c r="AM11" s="380"/>
      <c r="AN11" s="386"/>
      <c r="AO11" s="387"/>
      <c r="AP11" s="387"/>
      <c r="AQ11" s="387"/>
      <c r="AR11" s="388"/>
      <c r="AS11" s="81"/>
      <c r="AT11" s="81"/>
      <c r="AU11" s="81" t="s">
        <v>17</v>
      </c>
      <c r="AV11" s="81" t="s">
        <v>18</v>
      </c>
      <c r="AW11" s="81" t="s">
        <v>77</v>
      </c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2" t="s">
        <v>142</v>
      </c>
      <c r="BL11" s="82" t="str">
        <f>CONCATENATE($BL$12&amp;BK11&amp;"x")</f>
        <v>swbx</v>
      </c>
      <c r="BM11" s="82" t="str">
        <f>CONCATENATE($BM$12&amp;BK11&amp;"x")</f>
        <v>dbx</v>
      </c>
      <c r="BN11" s="82" t="str">
        <f>CONCATENATE($BN$12&amp;BK11&amp;"x")</f>
        <v>pbx</v>
      </c>
      <c r="BO11" s="82" t="str">
        <f>CONCATENATE($BO$12&amp;BK11&amp;"x")</f>
        <v>umvbx</v>
      </c>
      <c r="BP11" s="82" t="str">
        <f>CONCATENATE($BP$12&amp;BK11&amp;"x")</f>
        <v>uzvbx</v>
      </c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</row>
    <row r="12" spans="1:256" ht="18" x14ac:dyDescent="0.35">
      <c r="A12" s="395"/>
      <c r="B12" s="396"/>
      <c r="C12" s="396"/>
      <c r="D12" s="394"/>
      <c r="E12" s="81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1"/>
      <c r="Z12" s="368"/>
      <c r="AA12" s="369"/>
      <c r="AB12" s="369"/>
      <c r="AC12" s="369"/>
      <c r="AD12" s="370"/>
      <c r="AE12" s="84" t="s">
        <v>17</v>
      </c>
      <c r="AF12" s="84" t="s">
        <v>10</v>
      </c>
      <c r="AG12" s="84" t="s">
        <v>11</v>
      </c>
      <c r="AH12" s="84" t="s">
        <v>66</v>
      </c>
      <c r="AI12" s="84" t="s">
        <v>66</v>
      </c>
      <c r="AJ12" s="375"/>
      <c r="AK12" s="376"/>
      <c r="AL12" s="381"/>
      <c r="AM12" s="382"/>
      <c r="AN12" s="389" t="s">
        <v>17</v>
      </c>
      <c r="AO12" s="369"/>
      <c r="AP12" s="85"/>
      <c r="AQ12" s="369" t="s">
        <v>18</v>
      </c>
      <c r="AR12" s="390"/>
      <c r="AS12" s="81"/>
      <c r="AT12" s="81"/>
      <c r="AU12" s="81" t="s">
        <v>78</v>
      </c>
      <c r="AV12" s="81" t="s">
        <v>79</v>
      </c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 t="s">
        <v>138</v>
      </c>
      <c r="BM12" s="81" t="s">
        <v>139</v>
      </c>
      <c r="BN12" s="81" t="s">
        <v>79</v>
      </c>
      <c r="BO12" s="81" t="s">
        <v>140</v>
      </c>
      <c r="BP12" s="81" t="s">
        <v>141</v>
      </c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</row>
    <row r="13" spans="1:256" ht="15.6" x14ac:dyDescent="0.3">
      <c r="A13" s="86" t="s">
        <v>0</v>
      </c>
      <c r="B13" s="87" t="s">
        <v>1</v>
      </c>
      <c r="C13" s="88"/>
      <c r="D13" s="89"/>
      <c r="E13" s="88" t="s">
        <v>2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90"/>
      <c r="V13" s="91" t="s">
        <v>3</v>
      </c>
      <c r="W13" s="91" t="s">
        <v>4</v>
      </c>
      <c r="X13" s="91" t="s">
        <v>5</v>
      </c>
      <c r="Y13" s="92" t="s">
        <v>6</v>
      </c>
      <c r="Z13" s="93"/>
      <c r="AA13" s="94">
        <v>2</v>
      </c>
      <c r="AB13" s="95" t="s">
        <v>16</v>
      </c>
      <c r="AC13" s="94">
        <v>0</v>
      </c>
      <c r="AD13" s="96">
        <v>7</v>
      </c>
      <c r="AE13" s="97"/>
      <c r="AF13" s="97"/>
      <c r="AG13" s="98" t="s">
        <v>265</v>
      </c>
      <c r="AH13" s="99"/>
      <c r="AI13" s="99"/>
      <c r="AJ13" s="391" t="s">
        <v>17</v>
      </c>
      <c r="AK13" s="392"/>
      <c r="AL13" s="401">
        <v>4</v>
      </c>
      <c r="AM13" s="402"/>
      <c r="AN13" s="100"/>
      <c r="AO13" s="101">
        <f>IF(BQ13="","",IF(BQ13=$BL$10,"2"+AO1,IF(BQ13=$BM$10,"1"+AO1,IF(BQ13=$BN$10,"0"+AO1,IF(BQ13=$BO$10,"0"+AO1,IF(BQ13=$BP$10,"0"+AO1,"0"+AO1))))))</f>
        <v>1</v>
      </c>
      <c r="AP13" s="95" t="s">
        <v>16</v>
      </c>
      <c r="AQ13" s="102"/>
      <c r="AR13" s="103">
        <f>IF(BQ13="","",IF(BQ13=$BL$11,"2"+AR1,IF(BQ13=$BM$11,"1"+AR1,IF(BQ13=$BN$11,"0"+AR1,IF(BQ13=$BO$11,"0"+AR1,IF(BQ13=$BP$11,"0"+AR1,"0"+AR1))))))</f>
        <v>0</v>
      </c>
      <c r="AY13" s="38" t="str">
        <f>CONCATENATE(AJ13&amp;AL13)</f>
        <v>W4</v>
      </c>
      <c r="AZ13" s="38" t="str">
        <f>IF(AE13=$AW$11,"2","0")</f>
        <v>0</v>
      </c>
      <c r="BA13" s="38" t="str">
        <f>IF(AG13=$AW$11,"1","0")</f>
        <v>1</v>
      </c>
      <c r="BB13" s="38" t="str">
        <f>IF(AF13=$AW$11,"1","0")</f>
        <v>0</v>
      </c>
      <c r="BC13" s="38">
        <f>AZ13+BA13</f>
        <v>1</v>
      </c>
      <c r="BD13" s="38">
        <f>BB13+0</f>
        <v>0</v>
      </c>
      <c r="BL13" s="38" t="str">
        <f>IF(AE13="","",CONCATENATE($BL$12&amp;AJ13&amp;AE13))</f>
        <v/>
      </c>
      <c r="BM13" s="38" t="str">
        <f>IF(AG13="","",CONCATENATE($BM$12&amp;AJ13&amp;AG13))</f>
        <v>dWX</v>
      </c>
      <c r="BN13" s="38" t="str">
        <f>IF(AF13="","",CONCATENATE($BN$12&amp;AJ13,AF13))</f>
        <v/>
      </c>
      <c r="BO13" s="38" t="str">
        <f>IF(AH13="","",CONCATENATE($BO$12&amp;AJ13&amp;AH13))</f>
        <v/>
      </c>
      <c r="BP13" s="38" t="str">
        <f>IF(AI13="","",CONCATENATE($BP$12&amp;AJ13&amp;AI13))</f>
        <v/>
      </c>
      <c r="BQ13" s="38" t="str">
        <f>CONCATENATE(BL13&amp;BM13&amp;BN13&amp;BO13&amp;BP13)</f>
        <v>dWX</v>
      </c>
    </row>
    <row r="14" spans="1:256" ht="15.6" x14ac:dyDescent="0.3">
      <c r="A14" s="104" t="s">
        <v>265</v>
      </c>
      <c r="B14" s="397">
        <f>IF(ISBLANK(HLOOKUP($F$10,spelerslijsten!$B$1:$J$22,4,FALSE)),"",HLOOKUP($F$10,spelerslijsten!$B$1:$J$22,4,FALSE))</f>
        <v>2</v>
      </c>
      <c r="C14" s="398"/>
      <c r="D14" s="105"/>
      <c r="E14" s="106" t="str">
        <f>IF(ISBLANK(HLOOKUP($F$10,spelerslijsten!$B$1:$J$22,3,FALSE)),"",HLOOKUP($F$10,spelerslijsten!$B$1:$J$22,3,FALSE))</f>
        <v>Sean Williams</v>
      </c>
      <c r="F14" s="107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8">
        <f t="shared" ref="V14:V20" si="0">SUMIF($AY$13:$AY$46,AT14,$BC$13:$BC$46)</f>
        <v>0</v>
      </c>
      <c r="W14" s="109" t="str">
        <f>IF(AU14&gt;0,"x","")</f>
        <v/>
      </c>
      <c r="X14" s="110" t="str">
        <f>IF(AU14&gt;1,"x","")</f>
        <v/>
      </c>
      <c r="Y14" s="103" t="str">
        <f>IF(AU14&gt;2,"x","")</f>
        <v/>
      </c>
      <c r="Z14" s="111"/>
      <c r="AA14" s="112">
        <v>3</v>
      </c>
      <c r="AB14" s="113" t="str">
        <f>+AB13</f>
        <v>-</v>
      </c>
      <c r="AC14" s="112">
        <v>3</v>
      </c>
      <c r="AD14" s="114">
        <v>0</v>
      </c>
      <c r="AE14" s="115"/>
      <c r="AF14" s="115"/>
      <c r="AG14" s="116" t="s">
        <v>265</v>
      </c>
      <c r="AH14" s="117"/>
      <c r="AI14" s="117"/>
      <c r="AJ14" s="342" t="s">
        <v>18</v>
      </c>
      <c r="AK14" s="343"/>
      <c r="AL14" s="346">
        <v>10</v>
      </c>
      <c r="AM14" s="347"/>
      <c r="AN14" s="118"/>
      <c r="AO14" s="101">
        <f>IF(BQ14="","",IF(BQ14=$BL$10,"2"+AO13,IF(BQ14=$BM$10,"1"+AO13,IF(BQ14=$BN$10,"0"+AO13,IF(BQ14=$BO$10,"0"+AO13,IF(BQ14=$BP$10,"0"+AO13,"0"+AO13))))))</f>
        <v>1</v>
      </c>
      <c r="AP14" s="113" t="str">
        <f>+AP13</f>
        <v>-</v>
      </c>
      <c r="AQ14" s="119"/>
      <c r="AR14" s="103">
        <f>IF(BQ14="","",IF(BQ14=$BL$11,"2"+AR13,IF(BQ14=$BM$11,"1"+AR13,IF(BQ14=$BN$11,"0"+AR13,IF(BQ14=$BO$11,"0"+AR13,IF(BQ14=$BP$11,"0"+AR13,"0"+AR13))))))</f>
        <v>1</v>
      </c>
      <c r="AT14" s="38" t="str">
        <f>CONCATENATE($AU$11&amp;B14)</f>
        <v>W2</v>
      </c>
      <c r="AU14" s="38">
        <f>SUMIF($AY$13:$AY$46,AT14,$BD$13:$BD$46)</f>
        <v>0</v>
      </c>
      <c r="AY14" s="38" t="str">
        <f t="shared" ref="AY14:AY46" si="1">CONCATENATE(AJ14&amp;AL14)</f>
        <v>B10</v>
      </c>
      <c r="AZ14" s="38" t="str">
        <f t="shared" ref="AZ14:AZ46" si="2">IF(AE14=$AW$11,"2","0")</f>
        <v>0</v>
      </c>
      <c r="BA14" s="38" t="str">
        <f t="shared" ref="BA14:BA46" si="3">IF(AG14=$AW$11,"1","0")</f>
        <v>1</v>
      </c>
      <c r="BB14" s="38" t="str">
        <f t="shared" ref="BB14:BB46" si="4">IF(AF14=$AW$11,"1","0")</f>
        <v>0</v>
      </c>
      <c r="BC14" s="38">
        <f t="shared" ref="BC14:BC46" si="5">AZ14+BA14</f>
        <v>1</v>
      </c>
      <c r="BD14" s="38">
        <f t="shared" ref="BD14:BD46" si="6">BB14+0</f>
        <v>0</v>
      </c>
      <c r="BL14" s="38" t="str">
        <f t="shared" ref="BL14:BL46" si="7">IF(AE14="","",CONCATENATE($BL$12&amp;AJ14&amp;AE14))</f>
        <v/>
      </c>
      <c r="BM14" s="38" t="str">
        <f t="shared" ref="BM14:BM46" si="8">IF(AG14="","",CONCATENATE($BM$12&amp;AJ14&amp;AG14))</f>
        <v>dBX</v>
      </c>
      <c r="BN14" s="38" t="str">
        <f t="shared" ref="BN14:BN46" si="9">IF(AF14="","",CONCATENATE($BN$12&amp;AJ14,AF14))</f>
        <v/>
      </c>
      <c r="BO14" s="38" t="str">
        <f t="shared" ref="BO14:BO46" si="10">IF(AH14="","",CONCATENATE($BO$12&amp;AJ14&amp;AH14))</f>
        <v/>
      </c>
      <c r="BP14" s="38" t="str">
        <f t="shared" ref="BP14:BP46" si="11">IF(AI14="","",CONCATENATE($BP$12&amp;AJ14&amp;AI14))</f>
        <v/>
      </c>
      <c r="BQ14" s="38" t="str">
        <f t="shared" ref="BQ14:BQ46" si="12">CONCATENATE(BL14&amp;BM14&amp;BN14&amp;BO14&amp;BP14)</f>
        <v>dBX</v>
      </c>
    </row>
    <row r="15" spans="1:256" ht="15.6" x14ac:dyDescent="0.3">
      <c r="A15" s="120"/>
      <c r="B15" s="397">
        <f>IF(ISBLANK(HLOOKUP($F$10,spelerslijsten!$B$1:$J$22,6,FALSE)),"",HLOOKUP($F$10,spelerslijsten!$B$1:$J$22,6,FALSE))</f>
        <v>3</v>
      </c>
      <c r="C15" s="398"/>
      <c r="D15" s="121"/>
      <c r="E15" s="122" t="str">
        <f>IF(ISBLANK(HLOOKUP($F$10,spelerslijsten!$B$1:$J$22,5,FALSE)),"",HLOOKUP($F$10,spelerslijsten!$B$1:$J$22,5,FALSE))</f>
        <v>Liam Williams</v>
      </c>
      <c r="F15" s="123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08">
        <f t="shared" si="0"/>
        <v>0</v>
      </c>
      <c r="W15" s="109" t="str">
        <f t="shared" ref="W15:W23" si="13">IF(AU15&gt;0,"x","")</f>
        <v/>
      </c>
      <c r="X15" s="110" t="str">
        <f t="shared" ref="X15:X23" si="14">IF(AU15&gt;1,"x","")</f>
        <v/>
      </c>
      <c r="Y15" s="103" t="str">
        <f t="shared" ref="Y15:Y23" si="15">IF(AU15&gt;2,"x","")</f>
        <v/>
      </c>
      <c r="Z15" s="111"/>
      <c r="AA15" s="112">
        <v>4</v>
      </c>
      <c r="AB15" s="113" t="str">
        <f t="shared" ref="AB15:AB44" si="16">+AB14</f>
        <v>-</v>
      </c>
      <c r="AC15" s="112">
        <v>5</v>
      </c>
      <c r="AD15" s="114">
        <v>0</v>
      </c>
      <c r="AE15" s="115"/>
      <c r="AF15" s="115"/>
      <c r="AG15" s="116" t="s">
        <v>265</v>
      </c>
      <c r="AH15" s="117"/>
      <c r="AI15" s="117"/>
      <c r="AJ15" s="342" t="s">
        <v>18</v>
      </c>
      <c r="AK15" s="343"/>
      <c r="AL15" s="346">
        <v>10</v>
      </c>
      <c r="AM15" s="347"/>
      <c r="AN15" s="118"/>
      <c r="AO15" s="101">
        <f>IF(BQ15="","",IF(BQ15=$BL$10,"2"+AO14,IF(BQ15=$BM$10,"1"+AO14,IF(BQ15=$BN$10,"0"+AO14,IF(BQ15=$BO$10,"0"+AO14,IF(BQ15=$BP$10,"0"+AO14,"0"+AO14))))))</f>
        <v>1</v>
      </c>
      <c r="AP15" s="113" t="str">
        <f>+AP14</f>
        <v>-</v>
      </c>
      <c r="AQ15" s="119"/>
      <c r="AR15" s="103">
        <f>IF(BQ15="","",IF(BQ15=$BL$11,"2"+AR14,IF(BQ15=$BM$11,"1"+AR14,IF(BQ15=$BN$11,"0"+AR14,IF(BQ15=$BO$11,"0"+AR14,IF(BQ15=$BP$11,"0"+AR14,"0"+AR14))))))</f>
        <v>2</v>
      </c>
      <c r="AT15" s="38" t="str">
        <f t="shared" ref="AT15:AT23" si="17">CONCATENATE($AU$11&amp;B15)</f>
        <v>W3</v>
      </c>
      <c r="AU15" s="38">
        <f t="shared" ref="AU15:AU39" si="18">SUMIF($AY$13:$AY$46,AT15,$BD$13:$BD$46)</f>
        <v>0</v>
      </c>
      <c r="AY15" s="38" t="str">
        <f t="shared" si="1"/>
        <v>B10</v>
      </c>
      <c r="AZ15" s="38" t="str">
        <f t="shared" si="2"/>
        <v>0</v>
      </c>
      <c r="BA15" s="38" t="str">
        <f t="shared" si="3"/>
        <v>1</v>
      </c>
      <c r="BB15" s="38" t="str">
        <f t="shared" si="4"/>
        <v>0</v>
      </c>
      <c r="BC15" s="38">
        <f t="shared" si="5"/>
        <v>1</v>
      </c>
      <c r="BD15" s="38">
        <f t="shared" si="6"/>
        <v>0</v>
      </c>
      <c r="BL15" s="38" t="str">
        <f t="shared" si="7"/>
        <v/>
      </c>
      <c r="BM15" s="38" t="str">
        <f t="shared" si="8"/>
        <v>dBX</v>
      </c>
      <c r="BN15" s="38" t="str">
        <f t="shared" si="9"/>
        <v/>
      </c>
      <c r="BO15" s="38" t="str">
        <f t="shared" si="10"/>
        <v/>
      </c>
      <c r="BP15" s="38" t="str">
        <f t="shared" si="11"/>
        <v/>
      </c>
      <c r="BQ15" s="38" t="str">
        <f t="shared" si="12"/>
        <v>dBX</v>
      </c>
    </row>
    <row r="16" spans="1:256" ht="15.6" x14ac:dyDescent="0.3">
      <c r="A16" s="124" t="s">
        <v>265</v>
      </c>
      <c r="B16" s="397">
        <f>IF(ISBLANK(HLOOKUP($F$10,spelerslijsten!$B$1:$J$22,8,FALSE)),"",HLOOKUP($F$10,spelerslijsten!$B$1:$J$22,8,FALSE))</f>
        <v>4</v>
      </c>
      <c r="C16" s="398"/>
      <c r="D16" s="121"/>
      <c r="E16" s="122" t="str">
        <f>IF(ISBLANK(HLOOKUP($F$10,spelerslijsten!$B$1:$J$22,7,FALSE)),"",HLOOKUP($F$10,spelerslijsten!$B$1:$J$22,7,FALSE))</f>
        <v>Andre Buitink</v>
      </c>
      <c r="F16" s="12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08">
        <f t="shared" si="0"/>
        <v>1</v>
      </c>
      <c r="W16" s="109" t="str">
        <f t="shared" si="13"/>
        <v/>
      </c>
      <c r="X16" s="110" t="str">
        <f t="shared" si="14"/>
        <v/>
      </c>
      <c r="Y16" s="103" t="str">
        <f t="shared" si="15"/>
        <v/>
      </c>
      <c r="Z16" s="111"/>
      <c r="AA16" s="112">
        <v>5</v>
      </c>
      <c r="AB16" s="113" t="str">
        <f t="shared" si="16"/>
        <v>-</v>
      </c>
      <c r="AC16" s="112">
        <v>5</v>
      </c>
      <c r="AD16" s="114">
        <v>0</v>
      </c>
      <c r="AE16" s="115"/>
      <c r="AF16" s="115"/>
      <c r="AG16" s="116" t="s">
        <v>265</v>
      </c>
      <c r="AH16" s="117"/>
      <c r="AI16" s="117"/>
      <c r="AJ16" s="342" t="s">
        <v>17</v>
      </c>
      <c r="AK16" s="343"/>
      <c r="AL16" s="346">
        <v>6</v>
      </c>
      <c r="AM16" s="347"/>
      <c r="AN16" s="118"/>
      <c r="AO16" s="101">
        <f t="shared" ref="AO16:AO46" si="19">IF(BQ16="","",IF(BQ16=$BL$10,"2"+AO15,IF(BQ16=$BM$10,"1"+AO15,IF(BQ16=$BN$10,"0"+AO15,IF(BQ16=$BO$10,"0"+AO15,IF(BQ16=$BP$10,"0"+AO15,"0"+AO15))))))</f>
        <v>2</v>
      </c>
      <c r="AP16" s="113" t="str">
        <f t="shared" ref="AP16:AP46" si="20">+AP15</f>
        <v>-</v>
      </c>
      <c r="AQ16" s="119"/>
      <c r="AR16" s="103">
        <f t="shared" ref="AR16:AR46" si="21">IF(BQ16="","",IF(BQ16=$BL$11,"2"+AR15,IF(BQ16=$BM$11,"1"+AR15,IF(BQ16=$BN$11,"0"+AR15,IF(BQ16=$BO$11,"0"+AR15,IF(BQ16=$BP$11,"0"+AR15,"0"+AR15))))))</f>
        <v>2</v>
      </c>
      <c r="AT16" s="38" t="str">
        <f t="shared" si="17"/>
        <v>W4</v>
      </c>
      <c r="AU16" s="38">
        <f t="shared" si="18"/>
        <v>0</v>
      </c>
      <c r="AY16" s="38" t="str">
        <f t="shared" si="1"/>
        <v>W6</v>
      </c>
      <c r="AZ16" s="38" t="str">
        <f t="shared" si="2"/>
        <v>0</v>
      </c>
      <c r="BA16" s="38" t="str">
        <f t="shared" si="3"/>
        <v>1</v>
      </c>
      <c r="BB16" s="38" t="str">
        <f t="shared" si="4"/>
        <v>0</v>
      </c>
      <c r="BC16" s="38">
        <f t="shared" si="5"/>
        <v>1</v>
      </c>
      <c r="BD16" s="38">
        <f t="shared" si="6"/>
        <v>0</v>
      </c>
      <c r="BL16" s="38" t="str">
        <f t="shared" si="7"/>
        <v/>
      </c>
      <c r="BM16" s="38" t="str">
        <f t="shared" si="8"/>
        <v>dWX</v>
      </c>
      <c r="BN16" s="38" t="str">
        <f t="shared" si="9"/>
        <v/>
      </c>
      <c r="BO16" s="38" t="str">
        <f t="shared" si="10"/>
        <v/>
      </c>
      <c r="BP16" s="38" t="str">
        <f t="shared" si="11"/>
        <v/>
      </c>
      <c r="BQ16" s="38" t="str">
        <f t="shared" si="12"/>
        <v>dWX</v>
      </c>
    </row>
    <row r="17" spans="1:69" ht="15.6" x14ac:dyDescent="0.3">
      <c r="A17" s="124"/>
      <c r="B17" s="397">
        <f>IF(ISBLANK(HLOOKUP($F$10,spelerslijsten!$B$1:$J$22,10,FALSE)),"",HLOOKUP($F$10,spelerslijsten!$B$1:$J$22,10,FALSE))</f>
        <v>5</v>
      </c>
      <c r="C17" s="398"/>
      <c r="D17" s="121"/>
      <c r="E17" s="122" t="str">
        <f>IF(ISBLANK(HLOOKUP($F$10,spelerslijsten!$B$1:$J$22,9,FALSE)),"",HLOOKUP($F$10,spelerslijsten!$B$1:$J$22,9,FALSE))</f>
        <v>Marco Ensink</v>
      </c>
      <c r="F17" s="12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08">
        <f t="shared" si="0"/>
        <v>0</v>
      </c>
      <c r="W17" s="109" t="str">
        <f t="shared" si="13"/>
        <v/>
      </c>
      <c r="X17" s="110" t="str">
        <f t="shared" si="14"/>
        <v/>
      </c>
      <c r="Y17" s="103" t="str">
        <f t="shared" si="15"/>
        <v/>
      </c>
      <c r="Z17" s="111"/>
      <c r="AA17" s="112">
        <v>6</v>
      </c>
      <c r="AB17" s="113" t="str">
        <f t="shared" si="16"/>
        <v>-</v>
      </c>
      <c r="AC17" s="112">
        <v>3</v>
      </c>
      <c r="AD17" s="114">
        <v>6</v>
      </c>
      <c r="AE17" s="115"/>
      <c r="AF17" s="115"/>
      <c r="AG17" s="116" t="s">
        <v>265</v>
      </c>
      <c r="AH17" s="117"/>
      <c r="AI17" s="117"/>
      <c r="AJ17" s="342" t="s">
        <v>17</v>
      </c>
      <c r="AK17" s="343"/>
      <c r="AL17" s="346">
        <v>7</v>
      </c>
      <c r="AM17" s="347"/>
      <c r="AN17" s="118"/>
      <c r="AO17" s="101">
        <f t="shared" si="19"/>
        <v>3</v>
      </c>
      <c r="AP17" s="113" t="str">
        <f t="shared" si="20"/>
        <v>-</v>
      </c>
      <c r="AQ17" s="119"/>
      <c r="AR17" s="103">
        <f t="shared" si="21"/>
        <v>2</v>
      </c>
      <c r="AT17" s="38" t="str">
        <f t="shared" si="17"/>
        <v>W5</v>
      </c>
      <c r="AU17" s="38">
        <f t="shared" si="18"/>
        <v>0</v>
      </c>
      <c r="AY17" s="38" t="str">
        <f t="shared" si="1"/>
        <v>W7</v>
      </c>
      <c r="AZ17" s="38" t="str">
        <f t="shared" si="2"/>
        <v>0</v>
      </c>
      <c r="BA17" s="38" t="str">
        <f t="shared" si="3"/>
        <v>1</v>
      </c>
      <c r="BB17" s="38" t="str">
        <f t="shared" si="4"/>
        <v>0</v>
      </c>
      <c r="BC17" s="38">
        <f t="shared" si="5"/>
        <v>1</v>
      </c>
      <c r="BD17" s="38">
        <f t="shared" si="6"/>
        <v>0</v>
      </c>
      <c r="BL17" s="38" t="str">
        <f t="shared" si="7"/>
        <v/>
      </c>
      <c r="BM17" s="38" t="str">
        <f t="shared" si="8"/>
        <v>dWX</v>
      </c>
      <c r="BN17" s="38" t="str">
        <f t="shared" si="9"/>
        <v/>
      </c>
      <c r="BO17" s="38" t="str">
        <f t="shared" si="10"/>
        <v/>
      </c>
      <c r="BP17" s="38" t="str">
        <f t="shared" si="11"/>
        <v/>
      </c>
      <c r="BQ17" s="38" t="str">
        <f t="shared" si="12"/>
        <v>dWX</v>
      </c>
    </row>
    <row r="18" spans="1:69" ht="15.6" x14ac:dyDescent="0.3">
      <c r="A18" s="124" t="s">
        <v>265</v>
      </c>
      <c r="B18" s="397">
        <f>IF(ISBLANK(HLOOKUP($F$10,spelerslijsten!$B$1:$J$22,12,FALSE)),"",HLOOKUP($F$10,spelerslijsten!$B$1:$J$22,12,FALSE))</f>
        <v>6</v>
      </c>
      <c r="C18" s="398"/>
      <c r="D18" s="121"/>
      <c r="E18" s="122" t="str">
        <f>IF(ISBLANK(HLOOKUP($F$10,spelerslijsten!$B$1:$J$22,11,FALSE)),"",HLOOKUP($F$10,spelerslijsten!$B$1:$J$22,11,FALSE))</f>
        <v>Precilla Beune</v>
      </c>
      <c r="F18" s="12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08">
        <f t="shared" si="0"/>
        <v>2</v>
      </c>
      <c r="W18" s="109" t="str">
        <f t="shared" si="13"/>
        <v/>
      </c>
      <c r="X18" s="110" t="str">
        <f t="shared" si="14"/>
        <v/>
      </c>
      <c r="Y18" s="103" t="str">
        <f t="shared" si="15"/>
        <v/>
      </c>
      <c r="Z18" s="111"/>
      <c r="AA18" s="112">
        <v>7</v>
      </c>
      <c r="AB18" s="113" t="s">
        <v>16</v>
      </c>
      <c r="AC18" s="112">
        <v>4</v>
      </c>
      <c r="AD18" s="114">
        <v>0</v>
      </c>
      <c r="AE18" s="115"/>
      <c r="AF18" s="115"/>
      <c r="AG18" s="116" t="s">
        <v>265</v>
      </c>
      <c r="AH18" s="117"/>
      <c r="AI18" s="117"/>
      <c r="AJ18" s="342" t="s">
        <v>17</v>
      </c>
      <c r="AK18" s="343"/>
      <c r="AL18" s="346">
        <v>6</v>
      </c>
      <c r="AM18" s="347"/>
      <c r="AN18" s="118"/>
      <c r="AO18" s="101">
        <f t="shared" si="19"/>
        <v>4</v>
      </c>
      <c r="AP18" s="113" t="str">
        <f t="shared" si="20"/>
        <v>-</v>
      </c>
      <c r="AQ18" s="119"/>
      <c r="AR18" s="103">
        <f t="shared" si="21"/>
        <v>2</v>
      </c>
      <c r="AT18" s="38" t="str">
        <f t="shared" si="17"/>
        <v>W6</v>
      </c>
      <c r="AU18" s="38">
        <f t="shared" si="18"/>
        <v>0</v>
      </c>
      <c r="AY18" s="38" t="str">
        <f t="shared" si="1"/>
        <v>W6</v>
      </c>
      <c r="AZ18" s="38" t="str">
        <f t="shared" si="2"/>
        <v>0</v>
      </c>
      <c r="BA18" s="38" t="str">
        <f t="shared" si="3"/>
        <v>1</v>
      </c>
      <c r="BB18" s="38" t="str">
        <f t="shared" si="4"/>
        <v>0</v>
      </c>
      <c r="BC18" s="38">
        <f t="shared" si="5"/>
        <v>1</v>
      </c>
      <c r="BD18" s="38">
        <f t="shared" si="6"/>
        <v>0</v>
      </c>
      <c r="BL18" s="38" t="str">
        <f t="shared" si="7"/>
        <v/>
      </c>
      <c r="BM18" s="38" t="str">
        <f t="shared" si="8"/>
        <v>dWX</v>
      </c>
      <c r="BN18" s="38" t="str">
        <f t="shared" si="9"/>
        <v/>
      </c>
      <c r="BO18" s="38" t="str">
        <f t="shared" si="10"/>
        <v/>
      </c>
      <c r="BP18" s="38" t="str">
        <f t="shared" si="11"/>
        <v/>
      </c>
      <c r="BQ18" s="38" t="str">
        <f t="shared" si="12"/>
        <v>dWX</v>
      </c>
    </row>
    <row r="19" spans="1:69" ht="15.6" x14ac:dyDescent="0.3">
      <c r="A19" s="124" t="s">
        <v>265</v>
      </c>
      <c r="B19" s="397">
        <f>IF(ISBLANK(HLOOKUP($F$10,spelerslijsten!$B$1:$J$22,14,FALSE)),"",HLOOKUP($F$10,spelerslijsten!$B$1:$J$22,14,FALSE))</f>
        <v>7</v>
      </c>
      <c r="C19" s="398"/>
      <c r="D19" s="121"/>
      <c r="E19" s="122" t="str">
        <f>IF(ISBLANK(HLOOKUP($F$10,spelerslijsten!$B$1:$J$22,13,FALSE)),"",HLOOKUP($F$10,spelerslijsten!$B$1:$J$22,13,FALSE))</f>
        <v>Timo Hazelhoff</v>
      </c>
      <c r="F19" s="12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08">
        <f t="shared" si="0"/>
        <v>2</v>
      </c>
      <c r="W19" s="109" t="str">
        <f t="shared" si="13"/>
        <v/>
      </c>
      <c r="X19" s="110" t="str">
        <f t="shared" si="14"/>
        <v/>
      </c>
      <c r="Y19" s="103" t="str">
        <f t="shared" si="15"/>
        <v/>
      </c>
      <c r="Z19" s="111">
        <v>1</v>
      </c>
      <c r="AA19" s="112">
        <v>1</v>
      </c>
      <c r="AB19" s="113" t="str">
        <f t="shared" si="16"/>
        <v>-</v>
      </c>
      <c r="AC19" s="112">
        <v>4</v>
      </c>
      <c r="AD19" s="114">
        <v>0</v>
      </c>
      <c r="AE19" s="115"/>
      <c r="AF19" s="115"/>
      <c r="AG19" s="116" t="s">
        <v>265</v>
      </c>
      <c r="AH19" s="117"/>
      <c r="AI19" s="117"/>
      <c r="AJ19" s="342" t="s">
        <v>17</v>
      </c>
      <c r="AK19" s="343"/>
      <c r="AL19" s="346">
        <v>7</v>
      </c>
      <c r="AM19" s="347"/>
      <c r="AN19" s="118"/>
      <c r="AO19" s="101">
        <f t="shared" si="19"/>
        <v>5</v>
      </c>
      <c r="AP19" s="113" t="str">
        <f t="shared" si="20"/>
        <v>-</v>
      </c>
      <c r="AQ19" s="119"/>
      <c r="AR19" s="103">
        <f t="shared" si="21"/>
        <v>2</v>
      </c>
      <c r="AT19" s="38" t="str">
        <f t="shared" si="17"/>
        <v>W7</v>
      </c>
      <c r="AU19" s="38">
        <f t="shared" si="18"/>
        <v>0</v>
      </c>
      <c r="AY19" s="38" t="str">
        <f t="shared" si="1"/>
        <v>W7</v>
      </c>
      <c r="AZ19" s="38" t="str">
        <f t="shared" si="2"/>
        <v>0</v>
      </c>
      <c r="BA19" s="38" t="str">
        <f t="shared" si="3"/>
        <v>1</v>
      </c>
      <c r="BB19" s="38" t="str">
        <f t="shared" si="4"/>
        <v>0</v>
      </c>
      <c r="BC19" s="38">
        <f t="shared" si="5"/>
        <v>1</v>
      </c>
      <c r="BD19" s="38">
        <f t="shared" si="6"/>
        <v>0</v>
      </c>
      <c r="BL19" s="38" t="str">
        <f t="shared" si="7"/>
        <v/>
      </c>
      <c r="BM19" s="38" t="str">
        <f t="shared" si="8"/>
        <v>dWX</v>
      </c>
      <c r="BN19" s="38" t="str">
        <f t="shared" si="9"/>
        <v/>
      </c>
      <c r="BO19" s="38" t="str">
        <f t="shared" si="10"/>
        <v/>
      </c>
      <c r="BP19" s="38" t="str">
        <f t="shared" si="11"/>
        <v/>
      </c>
      <c r="BQ19" s="38" t="str">
        <f t="shared" si="12"/>
        <v>dWX</v>
      </c>
    </row>
    <row r="20" spans="1:69" ht="15.6" x14ac:dyDescent="0.3">
      <c r="A20" s="124" t="s">
        <v>265</v>
      </c>
      <c r="B20" s="397">
        <f>IF(ISBLANK(HLOOKUP($F$10,spelerslijsten!$B$1:$J$22,16,FALSE)),"",HLOOKUP($F$10,spelerslijsten!$B$1:$J$22,16,FALSE))</f>
        <v>8</v>
      </c>
      <c r="C20" s="398"/>
      <c r="D20" s="121"/>
      <c r="E20" s="122" t="str">
        <f>IF(ISBLANK(HLOOKUP($F$10,spelerslijsten!$B$1:$J$22,15,FALSE)),"",HLOOKUP($F$10,spelerslijsten!$B$1:$J$22,15,FALSE))</f>
        <v>Mike Regtop</v>
      </c>
      <c r="F20" s="12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08">
        <f t="shared" si="0"/>
        <v>0</v>
      </c>
      <c r="W20" s="109" t="str">
        <f t="shared" si="13"/>
        <v/>
      </c>
      <c r="X20" s="110" t="str">
        <f t="shared" si="14"/>
        <v/>
      </c>
      <c r="Y20" s="103" t="str">
        <f t="shared" si="15"/>
        <v/>
      </c>
      <c r="Z20" s="111">
        <v>1</v>
      </c>
      <c r="AA20" s="112">
        <v>3</v>
      </c>
      <c r="AB20" s="113" t="str">
        <f t="shared" si="16"/>
        <v>-</v>
      </c>
      <c r="AC20" s="112">
        <v>5</v>
      </c>
      <c r="AD20" s="114">
        <v>8</v>
      </c>
      <c r="AE20" s="115"/>
      <c r="AF20" s="115"/>
      <c r="AG20" s="116" t="s">
        <v>265</v>
      </c>
      <c r="AH20" s="117"/>
      <c r="AI20" s="117"/>
      <c r="AJ20" s="342" t="s">
        <v>18</v>
      </c>
      <c r="AK20" s="343"/>
      <c r="AL20" s="346">
        <v>8</v>
      </c>
      <c r="AM20" s="347"/>
      <c r="AN20" s="118"/>
      <c r="AO20" s="101">
        <f t="shared" si="19"/>
        <v>5</v>
      </c>
      <c r="AP20" s="113" t="str">
        <f t="shared" si="20"/>
        <v>-</v>
      </c>
      <c r="AQ20" s="119"/>
      <c r="AR20" s="103">
        <f t="shared" si="21"/>
        <v>3</v>
      </c>
      <c r="AT20" s="38" t="str">
        <f t="shared" si="17"/>
        <v>W8</v>
      </c>
      <c r="AU20" s="38">
        <f t="shared" si="18"/>
        <v>0</v>
      </c>
      <c r="AY20" s="38" t="str">
        <f t="shared" si="1"/>
        <v>B8</v>
      </c>
      <c r="AZ20" s="38" t="str">
        <f t="shared" si="2"/>
        <v>0</v>
      </c>
      <c r="BA20" s="38" t="str">
        <f t="shared" si="3"/>
        <v>1</v>
      </c>
      <c r="BB20" s="38" t="str">
        <f t="shared" si="4"/>
        <v>0</v>
      </c>
      <c r="BC20" s="38">
        <f t="shared" si="5"/>
        <v>1</v>
      </c>
      <c r="BD20" s="38">
        <f t="shared" si="6"/>
        <v>0</v>
      </c>
      <c r="BL20" s="38" t="str">
        <f t="shared" si="7"/>
        <v/>
      </c>
      <c r="BM20" s="38" t="str">
        <f t="shared" si="8"/>
        <v>dBX</v>
      </c>
      <c r="BN20" s="38" t="str">
        <f t="shared" si="9"/>
        <v/>
      </c>
      <c r="BO20" s="38" t="str">
        <f t="shared" si="10"/>
        <v/>
      </c>
      <c r="BP20" s="38" t="str">
        <f t="shared" si="11"/>
        <v/>
      </c>
      <c r="BQ20" s="38" t="str">
        <f t="shared" si="12"/>
        <v>dBX</v>
      </c>
    </row>
    <row r="21" spans="1:69" ht="15.6" x14ac:dyDescent="0.3">
      <c r="A21" s="124"/>
      <c r="B21" s="397" t="str">
        <f>IF(ISBLANK(HLOOKUP($F$10,spelerslijsten!$B$1:$J$22,18,FALSE)),"",HLOOKUP($F$10,spelerslijsten!$B$1:$J$22,18,FALSE))</f>
        <v/>
      </c>
      <c r="C21" s="398"/>
      <c r="D21" s="121"/>
      <c r="E21" s="122" t="str">
        <f>IF(ISBLANK(HLOOKUP($F$10,spelerslijsten!$B$1:$J$22,17,FALSE)),"",HLOOKUP($F$10,spelerslijsten!$B$1:$J$22,17,FALSE))</f>
        <v/>
      </c>
      <c r="F21" s="12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08">
        <f>SUMIF($AY$13:$AY$46,AT21,$BC$13:$BC$46)</f>
        <v>0</v>
      </c>
      <c r="W21" s="109" t="str">
        <f t="shared" si="13"/>
        <v/>
      </c>
      <c r="X21" s="110" t="str">
        <f t="shared" si="14"/>
        <v/>
      </c>
      <c r="Y21" s="103" t="str">
        <f t="shared" si="15"/>
        <v/>
      </c>
      <c r="Z21" s="111"/>
      <c r="AA21" s="112"/>
      <c r="AB21" s="113" t="str">
        <f t="shared" si="16"/>
        <v>-</v>
      </c>
      <c r="AC21" s="112"/>
      <c r="AD21" s="114"/>
      <c r="AE21" s="115"/>
      <c r="AF21" s="115"/>
      <c r="AG21" s="116"/>
      <c r="AH21" s="117"/>
      <c r="AI21" s="117"/>
      <c r="AJ21" s="342"/>
      <c r="AK21" s="343"/>
      <c r="AL21" s="346"/>
      <c r="AM21" s="347"/>
      <c r="AN21" s="118"/>
      <c r="AO21" s="101" t="str">
        <f t="shared" si="19"/>
        <v/>
      </c>
      <c r="AP21" s="113" t="str">
        <f t="shared" si="20"/>
        <v>-</v>
      </c>
      <c r="AQ21" s="119"/>
      <c r="AR21" s="103" t="str">
        <f t="shared" si="21"/>
        <v/>
      </c>
      <c r="AT21" s="38" t="str">
        <f t="shared" si="17"/>
        <v>W</v>
      </c>
      <c r="AU21" s="38">
        <f t="shared" si="18"/>
        <v>0</v>
      </c>
      <c r="AY21" s="38" t="str">
        <f t="shared" si="1"/>
        <v/>
      </c>
      <c r="AZ21" s="38" t="str">
        <f t="shared" si="2"/>
        <v>0</v>
      </c>
      <c r="BA21" s="38" t="str">
        <f t="shared" si="3"/>
        <v>0</v>
      </c>
      <c r="BB21" s="38" t="str">
        <f t="shared" si="4"/>
        <v>0</v>
      </c>
      <c r="BC21" s="38">
        <f t="shared" si="5"/>
        <v>0</v>
      </c>
      <c r="BD21" s="38">
        <f t="shared" si="6"/>
        <v>0</v>
      </c>
      <c r="BL21" s="38" t="str">
        <f t="shared" si="7"/>
        <v/>
      </c>
      <c r="BM21" s="38" t="str">
        <f t="shared" si="8"/>
        <v/>
      </c>
      <c r="BN21" s="38" t="str">
        <f t="shared" si="9"/>
        <v/>
      </c>
      <c r="BO21" s="38" t="str">
        <f t="shared" si="10"/>
        <v/>
      </c>
      <c r="BP21" s="38" t="str">
        <f t="shared" si="11"/>
        <v/>
      </c>
      <c r="BQ21" s="38" t="str">
        <f t="shared" si="12"/>
        <v/>
      </c>
    </row>
    <row r="22" spans="1:69" ht="15.6" x14ac:dyDescent="0.3">
      <c r="A22" s="124"/>
      <c r="B22" s="397" t="str">
        <f>IF(ISBLANK(HLOOKUP($F$10,spelerslijsten!$B$1:$J$22,20,FALSE)),"",HLOOKUP($F$10,spelerslijsten!$B$1:$J$22,20,FALSE))</f>
        <v/>
      </c>
      <c r="C22" s="398"/>
      <c r="D22" s="121"/>
      <c r="E22" s="122" t="str">
        <f>IF(ISBLANK(HLOOKUP($F$10,spelerslijsten!$B$1:$J$22,19,FALSE)),"",HLOOKUP($F$10,spelerslijsten!$B$1:$J$22,19,FALSE))</f>
        <v/>
      </c>
      <c r="F22" s="12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08">
        <f t="shared" ref="V22:V23" si="22">SUMIF($AY$13:$AY$46,AT22,$BC$13:$BC$46)</f>
        <v>0</v>
      </c>
      <c r="W22" s="109" t="str">
        <f t="shared" si="13"/>
        <v/>
      </c>
      <c r="X22" s="110" t="str">
        <f t="shared" si="14"/>
        <v/>
      </c>
      <c r="Y22" s="103" t="str">
        <f t="shared" si="15"/>
        <v/>
      </c>
      <c r="Z22" s="111"/>
      <c r="AA22" s="112"/>
      <c r="AB22" s="113" t="str">
        <f t="shared" si="16"/>
        <v>-</v>
      </c>
      <c r="AC22" s="112"/>
      <c r="AD22" s="114"/>
      <c r="AE22" s="115"/>
      <c r="AF22" s="115"/>
      <c r="AG22" s="116"/>
      <c r="AH22" s="117"/>
      <c r="AI22" s="117"/>
      <c r="AJ22" s="342"/>
      <c r="AK22" s="343"/>
      <c r="AL22" s="346"/>
      <c r="AM22" s="347"/>
      <c r="AN22" s="118"/>
      <c r="AO22" s="101" t="str">
        <f t="shared" si="19"/>
        <v/>
      </c>
      <c r="AP22" s="113" t="str">
        <f t="shared" si="20"/>
        <v>-</v>
      </c>
      <c r="AQ22" s="119"/>
      <c r="AR22" s="103" t="str">
        <f t="shared" si="21"/>
        <v/>
      </c>
      <c r="AT22" s="38" t="str">
        <f t="shared" si="17"/>
        <v>W</v>
      </c>
      <c r="AU22" s="38">
        <f t="shared" si="18"/>
        <v>0</v>
      </c>
      <c r="AY22" s="38" t="str">
        <f t="shared" si="1"/>
        <v/>
      </c>
      <c r="AZ22" s="38" t="str">
        <f t="shared" si="2"/>
        <v>0</v>
      </c>
      <c r="BA22" s="38" t="str">
        <f t="shared" si="3"/>
        <v>0</v>
      </c>
      <c r="BB22" s="38" t="str">
        <f t="shared" si="4"/>
        <v>0</v>
      </c>
      <c r="BC22" s="38">
        <f t="shared" si="5"/>
        <v>0</v>
      </c>
      <c r="BD22" s="38">
        <f t="shared" si="6"/>
        <v>0</v>
      </c>
      <c r="BL22" s="38" t="str">
        <f t="shared" si="7"/>
        <v/>
      </c>
      <c r="BM22" s="38" t="str">
        <f t="shared" si="8"/>
        <v/>
      </c>
      <c r="BN22" s="38" t="str">
        <f t="shared" si="9"/>
        <v/>
      </c>
      <c r="BO22" s="38" t="str">
        <f t="shared" si="10"/>
        <v/>
      </c>
      <c r="BP22" s="38" t="str">
        <f t="shared" si="11"/>
        <v/>
      </c>
      <c r="BQ22" s="38" t="str">
        <f t="shared" si="12"/>
        <v/>
      </c>
    </row>
    <row r="23" spans="1:69" ht="15.6" x14ac:dyDescent="0.3">
      <c r="A23" s="125"/>
      <c r="B23" s="397" t="str">
        <f>IF(ISBLANK(HLOOKUP($F$10,spelerslijsten!$B$1:$J$22,22,FALSE)),"",HLOOKUP($F$10,spelerslijsten!$B$1:$J$22,22,FALSE))</f>
        <v/>
      </c>
      <c r="C23" s="398"/>
      <c r="D23" s="126"/>
      <c r="E23" s="259" t="str">
        <f>IF(ISBLANK(HLOOKUP($F$10,spelerslijsten!$B$1:$J$22,21,FALSE)),"",HLOOKUP($F$10,spelerslijsten!$B$1:$J$22,21,FALSE))</f>
        <v/>
      </c>
      <c r="F23" s="126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08">
        <f t="shared" si="22"/>
        <v>0</v>
      </c>
      <c r="W23" s="109" t="str">
        <f t="shared" si="13"/>
        <v/>
      </c>
      <c r="X23" s="110" t="str">
        <f t="shared" si="14"/>
        <v/>
      </c>
      <c r="Y23" s="103" t="str">
        <f t="shared" si="15"/>
        <v/>
      </c>
      <c r="Z23" s="111"/>
      <c r="AA23" s="112"/>
      <c r="AB23" s="113" t="str">
        <f t="shared" si="16"/>
        <v>-</v>
      </c>
      <c r="AC23" s="112"/>
      <c r="AD23" s="114"/>
      <c r="AE23" s="115"/>
      <c r="AF23" s="115"/>
      <c r="AG23" s="116"/>
      <c r="AH23" s="117"/>
      <c r="AI23" s="117"/>
      <c r="AJ23" s="342"/>
      <c r="AK23" s="343"/>
      <c r="AL23" s="346"/>
      <c r="AM23" s="347"/>
      <c r="AN23" s="118"/>
      <c r="AO23" s="101" t="str">
        <f t="shared" si="19"/>
        <v/>
      </c>
      <c r="AP23" s="113" t="str">
        <f t="shared" si="20"/>
        <v>-</v>
      </c>
      <c r="AQ23" s="119"/>
      <c r="AR23" s="103" t="str">
        <f t="shared" si="21"/>
        <v/>
      </c>
      <c r="AT23" s="38" t="str">
        <f t="shared" si="17"/>
        <v>W</v>
      </c>
      <c r="AU23" s="38">
        <f t="shared" si="18"/>
        <v>0</v>
      </c>
      <c r="AY23" s="38" t="str">
        <f t="shared" si="1"/>
        <v/>
      </c>
      <c r="AZ23" s="38" t="str">
        <f t="shared" si="2"/>
        <v>0</v>
      </c>
      <c r="BA23" s="38" t="str">
        <f t="shared" si="3"/>
        <v>0</v>
      </c>
      <c r="BB23" s="38" t="str">
        <f t="shared" si="4"/>
        <v>0</v>
      </c>
      <c r="BC23" s="38">
        <f t="shared" si="5"/>
        <v>0</v>
      </c>
      <c r="BD23" s="38">
        <f t="shared" si="6"/>
        <v>0</v>
      </c>
      <c r="BL23" s="38" t="str">
        <f t="shared" si="7"/>
        <v/>
      </c>
      <c r="BM23" s="38" t="str">
        <f t="shared" si="8"/>
        <v/>
      </c>
      <c r="BN23" s="38" t="str">
        <f t="shared" si="9"/>
        <v/>
      </c>
      <c r="BO23" s="38" t="str">
        <f t="shared" si="10"/>
        <v/>
      </c>
      <c r="BP23" s="38" t="str">
        <f t="shared" si="11"/>
        <v/>
      </c>
      <c r="BQ23" s="38" t="str">
        <f t="shared" si="12"/>
        <v/>
      </c>
    </row>
    <row r="24" spans="1:69" ht="16.2" thickBot="1" x14ac:dyDescent="0.35">
      <c r="A24" s="71" t="s">
        <v>67</v>
      </c>
      <c r="B24" s="72"/>
      <c r="C24" s="72"/>
      <c r="D24" s="72"/>
      <c r="E24" s="72"/>
      <c r="F24" s="72"/>
      <c r="G24" s="72"/>
      <c r="I24" s="399">
        <f>HLOOKUP(F10,spelerslijsten!B1:J25,25,FALSE)</f>
        <v>0</v>
      </c>
      <c r="J24" s="400"/>
      <c r="K24" s="74" t="s">
        <v>23</v>
      </c>
      <c r="L24" s="72"/>
      <c r="M24" s="72"/>
      <c r="N24" s="129" t="str">
        <f>HLOOKUP(F10,spelerslijsten!B1:J25,23,FALSE)</f>
        <v>Andre Buitink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30"/>
      <c r="Z24" s="131"/>
      <c r="AA24" s="132"/>
      <c r="AB24" s="133" t="str">
        <f t="shared" si="16"/>
        <v>-</v>
      </c>
      <c r="AC24" s="132"/>
      <c r="AD24" s="134"/>
      <c r="AE24" s="135"/>
      <c r="AF24" s="135"/>
      <c r="AG24" s="136"/>
      <c r="AH24" s="137"/>
      <c r="AI24" s="137"/>
      <c r="AJ24" s="342"/>
      <c r="AK24" s="343"/>
      <c r="AL24" s="350"/>
      <c r="AM24" s="351"/>
      <c r="AN24" s="138"/>
      <c r="AO24" s="101" t="str">
        <f t="shared" si="19"/>
        <v/>
      </c>
      <c r="AP24" s="113" t="str">
        <f t="shared" si="20"/>
        <v>-</v>
      </c>
      <c r="AQ24" s="119"/>
      <c r="AR24" s="103" t="str">
        <f t="shared" si="21"/>
        <v/>
      </c>
      <c r="AY24" s="38" t="str">
        <f t="shared" si="1"/>
        <v/>
      </c>
      <c r="AZ24" s="38" t="str">
        <f t="shared" si="2"/>
        <v>0</v>
      </c>
      <c r="BA24" s="38" t="str">
        <f t="shared" si="3"/>
        <v>0</v>
      </c>
      <c r="BB24" s="38" t="str">
        <f t="shared" si="4"/>
        <v>0</v>
      </c>
      <c r="BC24" s="38">
        <f t="shared" si="5"/>
        <v>0</v>
      </c>
      <c r="BD24" s="38">
        <f t="shared" si="6"/>
        <v>0</v>
      </c>
      <c r="BL24" s="38" t="str">
        <f t="shared" si="7"/>
        <v/>
      </c>
      <c r="BM24" s="38" t="str">
        <f t="shared" si="8"/>
        <v/>
      </c>
      <c r="BN24" s="38" t="str">
        <f t="shared" si="9"/>
        <v/>
      </c>
      <c r="BO24" s="38" t="str">
        <f t="shared" si="10"/>
        <v/>
      </c>
      <c r="BP24" s="38" t="str">
        <f t="shared" si="11"/>
        <v/>
      </c>
      <c r="BQ24" s="38" t="str">
        <f t="shared" si="12"/>
        <v/>
      </c>
    </row>
    <row r="25" spans="1:69" ht="15" customHeight="1" x14ac:dyDescent="0.3">
      <c r="A25" s="78" t="s">
        <v>60</v>
      </c>
      <c r="B25" s="79"/>
      <c r="C25" s="79"/>
      <c r="D25" s="79"/>
      <c r="E25" s="79"/>
      <c r="F25" s="356" t="str">
        <f>+AC7</f>
        <v>VZ&amp;PC Nautilus 2</v>
      </c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7"/>
      <c r="Z25" s="139"/>
      <c r="AA25" s="140"/>
      <c r="AB25" s="141" t="str">
        <f t="shared" si="16"/>
        <v>-</v>
      </c>
      <c r="AC25" s="140"/>
      <c r="AD25" s="142"/>
      <c r="AE25" s="143"/>
      <c r="AF25" s="143"/>
      <c r="AG25" s="144"/>
      <c r="AH25" s="145"/>
      <c r="AI25" s="145"/>
      <c r="AJ25" s="342"/>
      <c r="AK25" s="343"/>
      <c r="AL25" s="346"/>
      <c r="AM25" s="347"/>
      <c r="AN25" s="146"/>
      <c r="AO25" s="101" t="str">
        <f t="shared" si="19"/>
        <v/>
      </c>
      <c r="AP25" s="113" t="str">
        <f t="shared" si="20"/>
        <v>-</v>
      </c>
      <c r="AQ25" s="119"/>
      <c r="AR25" s="103" t="str">
        <f t="shared" si="21"/>
        <v/>
      </c>
      <c r="AY25" s="38" t="str">
        <f t="shared" si="1"/>
        <v/>
      </c>
      <c r="AZ25" s="38" t="str">
        <f t="shared" si="2"/>
        <v>0</v>
      </c>
      <c r="BA25" s="38" t="str">
        <f t="shared" si="3"/>
        <v>0</v>
      </c>
      <c r="BB25" s="38" t="str">
        <f t="shared" si="4"/>
        <v>0</v>
      </c>
      <c r="BC25" s="38">
        <f t="shared" si="5"/>
        <v>0</v>
      </c>
      <c r="BD25" s="38">
        <f t="shared" si="6"/>
        <v>0</v>
      </c>
      <c r="BL25" s="38" t="str">
        <f t="shared" si="7"/>
        <v/>
      </c>
      <c r="BM25" s="38" t="str">
        <f t="shared" si="8"/>
        <v/>
      </c>
      <c r="BN25" s="38" t="str">
        <f t="shared" si="9"/>
        <v/>
      </c>
      <c r="BO25" s="38" t="str">
        <f t="shared" si="10"/>
        <v/>
      </c>
      <c r="BP25" s="38" t="str">
        <f t="shared" si="11"/>
        <v/>
      </c>
      <c r="BQ25" s="38" t="str">
        <f t="shared" si="12"/>
        <v/>
      </c>
    </row>
    <row r="26" spans="1:69" ht="15" customHeight="1" x14ac:dyDescent="0.3">
      <c r="A26" s="393" t="s">
        <v>24</v>
      </c>
      <c r="B26" s="394"/>
      <c r="C26" s="394"/>
      <c r="D26" s="394"/>
      <c r="E26" s="81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9"/>
      <c r="Z26" s="139"/>
      <c r="AA26" s="140"/>
      <c r="AB26" s="141" t="s">
        <v>16</v>
      </c>
      <c r="AC26" s="140"/>
      <c r="AD26" s="142"/>
      <c r="AE26" s="143"/>
      <c r="AF26" s="143"/>
      <c r="AG26" s="144"/>
      <c r="AH26" s="145"/>
      <c r="AI26" s="145"/>
      <c r="AJ26" s="342"/>
      <c r="AK26" s="343"/>
      <c r="AL26" s="346"/>
      <c r="AM26" s="347"/>
      <c r="AN26" s="146"/>
      <c r="AO26" s="101" t="str">
        <f t="shared" si="19"/>
        <v/>
      </c>
      <c r="AP26" s="113" t="str">
        <f t="shared" si="20"/>
        <v>-</v>
      </c>
      <c r="AQ26" s="119"/>
      <c r="AR26" s="103" t="str">
        <f t="shared" si="21"/>
        <v/>
      </c>
      <c r="AY26" s="38" t="str">
        <f t="shared" si="1"/>
        <v/>
      </c>
      <c r="AZ26" s="38" t="str">
        <f t="shared" si="2"/>
        <v>0</v>
      </c>
      <c r="BA26" s="38" t="str">
        <f t="shared" si="3"/>
        <v>0</v>
      </c>
      <c r="BB26" s="38" t="str">
        <f t="shared" si="4"/>
        <v>0</v>
      </c>
      <c r="BC26" s="38">
        <f t="shared" si="5"/>
        <v>0</v>
      </c>
      <c r="BD26" s="38">
        <f t="shared" si="6"/>
        <v>0</v>
      </c>
      <c r="BL26" s="38" t="str">
        <f t="shared" si="7"/>
        <v/>
      </c>
      <c r="BM26" s="38" t="str">
        <f t="shared" si="8"/>
        <v/>
      </c>
      <c r="BN26" s="38" t="str">
        <f t="shared" si="9"/>
        <v/>
      </c>
      <c r="BO26" s="38" t="str">
        <f t="shared" si="10"/>
        <v/>
      </c>
      <c r="BP26" s="38" t="str">
        <f t="shared" si="11"/>
        <v/>
      </c>
      <c r="BQ26" s="38" t="str">
        <f t="shared" si="12"/>
        <v/>
      </c>
    </row>
    <row r="27" spans="1:69" ht="15.6" x14ac:dyDescent="0.3">
      <c r="A27" s="393"/>
      <c r="B27" s="394"/>
      <c r="C27" s="394"/>
      <c r="D27" s="394"/>
      <c r="E27" s="81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9"/>
      <c r="Z27" s="139"/>
      <c r="AA27" s="140"/>
      <c r="AB27" s="141" t="s">
        <v>16</v>
      </c>
      <c r="AC27" s="140"/>
      <c r="AD27" s="142"/>
      <c r="AE27" s="143"/>
      <c r="AF27" s="143"/>
      <c r="AG27" s="144"/>
      <c r="AH27" s="145"/>
      <c r="AI27" s="145"/>
      <c r="AJ27" s="342"/>
      <c r="AK27" s="343"/>
      <c r="AL27" s="346"/>
      <c r="AM27" s="347"/>
      <c r="AN27" s="146"/>
      <c r="AO27" s="101" t="str">
        <f t="shared" si="19"/>
        <v/>
      </c>
      <c r="AP27" s="113" t="str">
        <f t="shared" si="20"/>
        <v>-</v>
      </c>
      <c r="AQ27" s="119"/>
      <c r="AR27" s="103" t="str">
        <f t="shared" si="21"/>
        <v/>
      </c>
      <c r="AY27" s="38" t="str">
        <f t="shared" si="1"/>
        <v/>
      </c>
      <c r="AZ27" s="38" t="str">
        <f t="shared" si="2"/>
        <v>0</v>
      </c>
      <c r="BA27" s="38" t="str">
        <f t="shared" si="3"/>
        <v>0</v>
      </c>
      <c r="BB27" s="38" t="str">
        <f t="shared" si="4"/>
        <v>0</v>
      </c>
      <c r="BC27" s="38">
        <f t="shared" si="5"/>
        <v>0</v>
      </c>
      <c r="BD27" s="38">
        <f t="shared" si="6"/>
        <v>0</v>
      </c>
      <c r="BL27" s="38" t="str">
        <f t="shared" si="7"/>
        <v/>
      </c>
      <c r="BM27" s="38" t="str">
        <f t="shared" si="8"/>
        <v/>
      </c>
      <c r="BN27" s="38" t="str">
        <f t="shared" si="9"/>
        <v/>
      </c>
      <c r="BO27" s="38" t="str">
        <f t="shared" si="10"/>
        <v/>
      </c>
      <c r="BP27" s="38" t="str">
        <f t="shared" si="11"/>
        <v/>
      </c>
      <c r="BQ27" s="38" t="str">
        <f t="shared" si="12"/>
        <v/>
      </c>
    </row>
    <row r="28" spans="1:69" ht="15.6" x14ac:dyDescent="0.3">
      <c r="A28" s="395"/>
      <c r="B28" s="396"/>
      <c r="C28" s="396"/>
      <c r="D28" s="396"/>
      <c r="E28" s="81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1"/>
      <c r="Z28" s="147"/>
      <c r="AA28" s="140"/>
      <c r="AB28" s="148" t="str">
        <f>+AB25</f>
        <v>-</v>
      </c>
      <c r="AC28" s="140"/>
      <c r="AD28" s="142"/>
      <c r="AE28" s="143"/>
      <c r="AF28" s="143"/>
      <c r="AG28" s="144"/>
      <c r="AH28" s="145"/>
      <c r="AI28" s="145"/>
      <c r="AJ28" s="342"/>
      <c r="AK28" s="343"/>
      <c r="AL28" s="346"/>
      <c r="AM28" s="347"/>
      <c r="AN28" s="146"/>
      <c r="AO28" s="101" t="str">
        <f t="shared" si="19"/>
        <v/>
      </c>
      <c r="AP28" s="113" t="str">
        <f t="shared" si="20"/>
        <v>-</v>
      </c>
      <c r="AQ28" s="119"/>
      <c r="AR28" s="103" t="str">
        <f t="shared" si="21"/>
        <v/>
      </c>
      <c r="AY28" s="38" t="str">
        <f t="shared" si="1"/>
        <v/>
      </c>
      <c r="AZ28" s="38" t="str">
        <f t="shared" si="2"/>
        <v>0</v>
      </c>
      <c r="BA28" s="38" t="str">
        <f t="shared" si="3"/>
        <v>0</v>
      </c>
      <c r="BB28" s="38" t="str">
        <f t="shared" si="4"/>
        <v>0</v>
      </c>
      <c r="BC28" s="38">
        <f t="shared" si="5"/>
        <v>0</v>
      </c>
      <c r="BD28" s="38">
        <f t="shared" si="6"/>
        <v>0</v>
      </c>
      <c r="BL28" s="38" t="str">
        <f t="shared" si="7"/>
        <v/>
      </c>
      <c r="BM28" s="38" t="str">
        <f t="shared" si="8"/>
        <v/>
      </c>
      <c r="BN28" s="38" t="str">
        <f t="shared" si="9"/>
        <v/>
      </c>
      <c r="BO28" s="38" t="str">
        <f t="shared" si="10"/>
        <v/>
      </c>
      <c r="BP28" s="38" t="str">
        <f t="shared" si="11"/>
        <v/>
      </c>
      <c r="BQ28" s="38" t="str">
        <f t="shared" si="12"/>
        <v/>
      </c>
    </row>
    <row r="29" spans="1:69" ht="15.6" x14ac:dyDescent="0.3">
      <c r="A29" s="86" t="s">
        <v>0</v>
      </c>
      <c r="B29" s="87" t="s">
        <v>1</v>
      </c>
      <c r="C29" s="64"/>
      <c r="D29" s="89"/>
      <c r="E29" s="88" t="s">
        <v>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90"/>
      <c r="V29" s="91" t="s">
        <v>3</v>
      </c>
      <c r="W29" s="91" t="s">
        <v>4</v>
      </c>
      <c r="X29" s="91" t="s">
        <v>5</v>
      </c>
      <c r="Y29" s="92" t="s">
        <v>6</v>
      </c>
      <c r="Z29" s="111"/>
      <c r="AA29" s="149"/>
      <c r="AB29" s="150" t="str">
        <f t="shared" si="16"/>
        <v>-</v>
      </c>
      <c r="AC29" s="149"/>
      <c r="AD29" s="151"/>
      <c r="AE29" s="152"/>
      <c r="AF29" s="152"/>
      <c r="AG29" s="153"/>
      <c r="AH29" s="154"/>
      <c r="AI29" s="154"/>
      <c r="AJ29" s="342"/>
      <c r="AK29" s="343"/>
      <c r="AL29" s="348"/>
      <c r="AM29" s="349"/>
      <c r="AN29" s="155"/>
      <c r="AO29" s="101" t="str">
        <f t="shared" si="19"/>
        <v/>
      </c>
      <c r="AP29" s="113" t="str">
        <f t="shared" si="20"/>
        <v>-</v>
      </c>
      <c r="AQ29" s="119"/>
      <c r="AR29" s="103" t="str">
        <f t="shared" si="21"/>
        <v/>
      </c>
      <c r="AY29" s="38" t="str">
        <f t="shared" si="1"/>
        <v/>
      </c>
      <c r="AZ29" s="38" t="str">
        <f t="shared" si="2"/>
        <v>0</v>
      </c>
      <c r="BA29" s="38" t="str">
        <f t="shared" si="3"/>
        <v>0</v>
      </c>
      <c r="BB29" s="38" t="str">
        <f t="shared" si="4"/>
        <v>0</v>
      </c>
      <c r="BC29" s="38">
        <f t="shared" si="5"/>
        <v>0</v>
      </c>
      <c r="BD29" s="38">
        <f t="shared" si="6"/>
        <v>0</v>
      </c>
      <c r="BL29" s="38" t="str">
        <f t="shared" si="7"/>
        <v/>
      </c>
      <c r="BM29" s="38" t="str">
        <f t="shared" si="8"/>
        <v/>
      </c>
      <c r="BN29" s="38" t="str">
        <f t="shared" si="9"/>
        <v/>
      </c>
      <c r="BO29" s="38" t="str">
        <f t="shared" si="10"/>
        <v/>
      </c>
      <c r="BP29" s="38" t="str">
        <f t="shared" si="11"/>
        <v/>
      </c>
      <c r="BQ29" s="38" t="str">
        <f t="shared" si="12"/>
        <v/>
      </c>
    </row>
    <row r="30" spans="1:69" ht="15.6" x14ac:dyDescent="0.3">
      <c r="A30" s="104" t="s">
        <v>265</v>
      </c>
      <c r="B30" s="397">
        <f>IF(ISBLANK(HLOOKUP($F$25,spelerslijsten!$B$1:$J$22,4,FALSE)),"",HLOOKUP($F$25,spelerslijsten!$B$1:$J$22,4,FALSE))</f>
        <v>2</v>
      </c>
      <c r="C30" s="398"/>
      <c r="D30" s="105"/>
      <c r="E30" s="106" t="str">
        <f>IF(ISBLANK(HLOOKUP($F$25,spelerslijsten!$B$1:$J$22,3,FALSE)),"",HLOOKUP($F$25,spelerslijsten!$B$1:$J$22,3,FALSE))</f>
        <v>Willy van Grunsven</v>
      </c>
      <c r="F30" s="105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8">
        <f t="shared" ref="V30:V39" si="23">SUMIF($AY$13:$AY$46,AT30,$BC$13:$BC$46)</f>
        <v>0</v>
      </c>
      <c r="W30" s="109" t="str">
        <f>IF(AU30&gt;0,"x","")</f>
        <v/>
      </c>
      <c r="X30" s="110" t="str">
        <f>IF(AU30&gt;1,"x","")</f>
        <v/>
      </c>
      <c r="Y30" s="103" t="str">
        <f>IF(AU30&gt;2,"x","")</f>
        <v/>
      </c>
      <c r="Z30" s="111"/>
      <c r="AA30" s="112"/>
      <c r="AB30" s="113" t="str">
        <f t="shared" si="16"/>
        <v>-</v>
      </c>
      <c r="AC30" s="112"/>
      <c r="AD30" s="114"/>
      <c r="AE30" s="115"/>
      <c r="AF30" s="115"/>
      <c r="AG30" s="116"/>
      <c r="AH30" s="117"/>
      <c r="AI30" s="117"/>
      <c r="AJ30" s="342"/>
      <c r="AK30" s="343"/>
      <c r="AL30" s="346"/>
      <c r="AM30" s="347"/>
      <c r="AN30" s="118"/>
      <c r="AO30" s="101" t="str">
        <f t="shared" si="19"/>
        <v/>
      </c>
      <c r="AP30" s="113" t="str">
        <f t="shared" si="20"/>
        <v>-</v>
      </c>
      <c r="AQ30" s="119"/>
      <c r="AR30" s="103" t="str">
        <f t="shared" si="21"/>
        <v/>
      </c>
      <c r="AT30" s="38" t="str">
        <f>CONCATENATE($AV$11&amp;B30)</f>
        <v>B2</v>
      </c>
      <c r="AU30" s="38">
        <f t="shared" si="18"/>
        <v>0</v>
      </c>
      <c r="AY30" s="38" t="str">
        <f t="shared" si="1"/>
        <v/>
      </c>
      <c r="AZ30" s="38" t="str">
        <f t="shared" si="2"/>
        <v>0</v>
      </c>
      <c r="BA30" s="38" t="str">
        <f t="shared" si="3"/>
        <v>0</v>
      </c>
      <c r="BB30" s="38" t="str">
        <f t="shared" si="4"/>
        <v>0</v>
      </c>
      <c r="BC30" s="38">
        <f t="shared" si="5"/>
        <v>0</v>
      </c>
      <c r="BD30" s="38">
        <f t="shared" si="6"/>
        <v>0</v>
      </c>
      <c r="BL30" s="38" t="str">
        <f t="shared" si="7"/>
        <v/>
      </c>
      <c r="BM30" s="38" t="str">
        <f t="shared" si="8"/>
        <v/>
      </c>
      <c r="BN30" s="38" t="str">
        <f t="shared" si="9"/>
        <v/>
      </c>
      <c r="BO30" s="38" t="str">
        <f t="shared" si="10"/>
        <v/>
      </c>
      <c r="BP30" s="38" t="str">
        <f t="shared" si="11"/>
        <v/>
      </c>
      <c r="BQ30" s="38" t="str">
        <f t="shared" si="12"/>
        <v/>
      </c>
    </row>
    <row r="31" spans="1:69" ht="15.6" x14ac:dyDescent="0.3">
      <c r="A31" s="120" t="s">
        <v>265</v>
      </c>
      <c r="B31" s="397">
        <f>IF(ISBLANK(HLOOKUP($F$25,spelerslijsten!$B$1:$J$22,6,FALSE)),"",HLOOKUP($F$25,spelerslijsten!$B$1:$J$22,6,FALSE))</f>
        <v>3</v>
      </c>
      <c r="C31" s="398"/>
      <c r="D31" s="121"/>
      <c r="E31" s="122" t="str">
        <f>IF(ISBLANK(HLOOKUP($F$25,spelerslijsten!$B$1:$J$22,5,FALSE)),"",HLOOKUP($F$25,spelerslijsten!$B$1:$J$22,5,FALSE))</f>
        <v>Manuel Bastiaans</v>
      </c>
      <c r="F31" s="12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08">
        <f t="shared" si="23"/>
        <v>0</v>
      </c>
      <c r="W31" s="109" t="str">
        <f t="shared" ref="W31:W39" si="24">IF(AU31&gt;0,"x","")</f>
        <v/>
      </c>
      <c r="X31" s="110" t="str">
        <f t="shared" ref="X31:X39" si="25">IF(AU31&gt;1,"x","")</f>
        <v/>
      </c>
      <c r="Y31" s="103" t="str">
        <f t="shared" ref="Y31:Y39" si="26">IF(AU31&gt;2,"x","")</f>
        <v/>
      </c>
      <c r="Z31" s="111"/>
      <c r="AA31" s="112"/>
      <c r="AB31" s="113" t="str">
        <f t="shared" si="16"/>
        <v>-</v>
      </c>
      <c r="AC31" s="112"/>
      <c r="AD31" s="114"/>
      <c r="AE31" s="115"/>
      <c r="AF31" s="115"/>
      <c r="AG31" s="116"/>
      <c r="AH31" s="117"/>
      <c r="AI31" s="117"/>
      <c r="AJ31" s="342"/>
      <c r="AK31" s="343"/>
      <c r="AL31" s="346"/>
      <c r="AM31" s="347"/>
      <c r="AN31" s="118"/>
      <c r="AO31" s="101" t="str">
        <f t="shared" si="19"/>
        <v/>
      </c>
      <c r="AP31" s="113" t="str">
        <f t="shared" si="20"/>
        <v>-</v>
      </c>
      <c r="AQ31" s="119"/>
      <c r="AR31" s="103" t="str">
        <f t="shared" si="21"/>
        <v/>
      </c>
      <c r="AT31" s="38" t="str">
        <f t="shared" ref="AT31:AT39" si="27">CONCATENATE($AV$11&amp;B31)</f>
        <v>B3</v>
      </c>
      <c r="AU31" s="38">
        <f t="shared" si="18"/>
        <v>0</v>
      </c>
      <c r="AY31" s="38" t="str">
        <f t="shared" si="1"/>
        <v/>
      </c>
      <c r="AZ31" s="38" t="str">
        <f t="shared" si="2"/>
        <v>0</v>
      </c>
      <c r="BA31" s="38" t="str">
        <f t="shared" si="3"/>
        <v>0</v>
      </c>
      <c r="BB31" s="38" t="str">
        <f t="shared" si="4"/>
        <v>0</v>
      </c>
      <c r="BC31" s="38">
        <f t="shared" si="5"/>
        <v>0</v>
      </c>
      <c r="BD31" s="38">
        <f t="shared" si="6"/>
        <v>0</v>
      </c>
      <c r="BL31" s="38" t="str">
        <f t="shared" si="7"/>
        <v/>
      </c>
      <c r="BM31" s="38" t="str">
        <f t="shared" si="8"/>
        <v/>
      </c>
      <c r="BN31" s="38" t="str">
        <f t="shared" si="9"/>
        <v/>
      </c>
      <c r="BO31" s="38" t="str">
        <f t="shared" si="10"/>
        <v/>
      </c>
      <c r="BP31" s="38" t="str">
        <f t="shared" si="11"/>
        <v/>
      </c>
      <c r="BQ31" s="38" t="str">
        <f t="shared" si="12"/>
        <v/>
      </c>
    </row>
    <row r="32" spans="1:69" ht="15.6" x14ac:dyDescent="0.3">
      <c r="A32" s="124" t="s">
        <v>265</v>
      </c>
      <c r="B32" s="397">
        <f>IF(ISBLANK(HLOOKUP($F$25,spelerslijsten!$B$1:$J$22,8,FALSE)),"",HLOOKUP($F$25,spelerslijsten!$B$1:$J$22,8,FALSE))</f>
        <v>4</v>
      </c>
      <c r="C32" s="398"/>
      <c r="D32" s="121"/>
      <c r="E32" s="122" t="str">
        <f>IF(ISBLANK(HLOOKUP($F$25,spelerslijsten!$B$1:$J$22,7,FALSE)),"",HLOOKUP($F$25,spelerslijsten!$B$1:$J$22,7,FALSE))</f>
        <v>Marga Schouten</v>
      </c>
      <c r="F32" s="12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08">
        <f t="shared" si="23"/>
        <v>0</v>
      </c>
      <c r="W32" s="109" t="str">
        <f t="shared" si="24"/>
        <v/>
      </c>
      <c r="X32" s="110" t="str">
        <f t="shared" si="25"/>
        <v/>
      </c>
      <c r="Y32" s="103" t="str">
        <f t="shared" si="26"/>
        <v/>
      </c>
      <c r="Z32" s="111"/>
      <c r="AA32" s="112"/>
      <c r="AB32" s="113" t="str">
        <f t="shared" si="16"/>
        <v>-</v>
      </c>
      <c r="AC32" s="112"/>
      <c r="AD32" s="114"/>
      <c r="AE32" s="115"/>
      <c r="AF32" s="115"/>
      <c r="AG32" s="116"/>
      <c r="AH32" s="117"/>
      <c r="AI32" s="117"/>
      <c r="AJ32" s="342"/>
      <c r="AK32" s="343"/>
      <c r="AL32" s="346"/>
      <c r="AM32" s="347"/>
      <c r="AN32" s="118"/>
      <c r="AO32" s="101" t="str">
        <f t="shared" si="19"/>
        <v/>
      </c>
      <c r="AP32" s="113" t="str">
        <f t="shared" si="20"/>
        <v>-</v>
      </c>
      <c r="AQ32" s="119"/>
      <c r="AR32" s="103" t="str">
        <f t="shared" si="21"/>
        <v/>
      </c>
      <c r="AT32" s="38" t="str">
        <f t="shared" si="27"/>
        <v>B4</v>
      </c>
      <c r="AU32" s="38">
        <f t="shared" si="18"/>
        <v>0</v>
      </c>
      <c r="AY32" s="38" t="str">
        <f t="shared" si="1"/>
        <v/>
      </c>
      <c r="AZ32" s="38" t="str">
        <f t="shared" si="2"/>
        <v>0</v>
      </c>
      <c r="BA32" s="38" t="str">
        <f t="shared" si="3"/>
        <v>0</v>
      </c>
      <c r="BB32" s="38" t="str">
        <f t="shared" si="4"/>
        <v>0</v>
      </c>
      <c r="BC32" s="38">
        <f t="shared" si="5"/>
        <v>0</v>
      </c>
      <c r="BD32" s="38">
        <f t="shared" si="6"/>
        <v>0</v>
      </c>
      <c r="BL32" s="38" t="str">
        <f t="shared" si="7"/>
        <v/>
      </c>
      <c r="BM32" s="38" t="str">
        <f t="shared" si="8"/>
        <v/>
      </c>
      <c r="BN32" s="38" t="str">
        <f t="shared" si="9"/>
        <v/>
      </c>
      <c r="BO32" s="38" t="str">
        <f t="shared" si="10"/>
        <v/>
      </c>
      <c r="BP32" s="38" t="str">
        <f t="shared" si="11"/>
        <v/>
      </c>
      <c r="BQ32" s="38" t="str">
        <f t="shared" si="12"/>
        <v/>
      </c>
    </row>
    <row r="33" spans="1:69" ht="15.6" x14ac:dyDescent="0.3">
      <c r="A33" s="124" t="s">
        <v>265</v>
      </c>
      <c r="B33" s="397">
        <f>IF(ISBLANK(HLOOKUP($F$25,spelerslijsten!$B$1:$J$22,10,FALSE)),"",HLOOKUP($F$25,spelerslijsten!$B$1:$J$22,10,FALSE))</f>
        <v>6</v>
      </c>
      <c r="C33" s="398"/>
      <c r="D33" s="121"/>
      <c r="E33" s="122" t="str">
        <f>IF(ISBLANK(HLOOKUP($F$25,spelerslijsten!$B$1:$J$22,9,FALSE)),"",HLOOKUP($F$25,spelerslijsten!$B$1:$J$22,9,FALSE))</f>
        <v>Anja Braken</v>
      </c>
      <c r="F33" s="12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08">
        <f t="shared" si="23"/>
        <v>0</v>
      </c>
      <c r="W33" s="109" t="str">
        <f t="shared" si="24"/>
        <v/>
      </c>
      <c r="X33" s="110" t="str">
        <f t="shared" si="25"/>
        <v/>
      </c>
      <c r="Y33" s="103" t="str">
        <f t="shared" si="26"/>
        <v/>
      </c>
      <c r="Z33" s="111"/>
      <c r="AA33" s="112"/>
      <c r="AB33" s="113" t="str">
        <f t="shared" si="16"/>
        <v>-</v>
      </c>
      <c r="AC33" s="112"/>
      <c r="AD33" s="114"/>
      <c r="AE33" s="115"/>
      <c r="AF33" s="115"/>
      <c r="AG33" s="116"/>
      <c r="AH33" s="117"/>
      <c r="AI33" s="117"/>
      <c r="AJ33" s="342"/>
      <c r="AK33" s="343"/>
      <c r="AL33" s="346"/>
      <c r="AM33" s="347"/>
      <c r="AN33" s="118"/>
      <c r="AO33" s="101" t="str">
        <f t="shared" si="19"/>
        <v/>
      </c>
      <c r="AP33" s="113" t="str">
        <f t="shared" si="20"/>
        <v>-</v>
      </c>
      <c r="AQ33" s="119"/>
      <c r="AR33" s="103" t="str">
        <f t="shared" si="21"/>
        <v/>
      </c>
      <c r="AT33" s="38" t="str">
        <f t="shared" si="27"/>
        <v>B6</v>
      </c>
      <c r="AU33" s="38">
        <f t="shared" si="18"/>
        <v>0</v>
      </c>
      <c r="AY33" s="38" t="str">
        <f t="shared" si="1"/>
        <v/>
      </c>
      <c r="AZ33" s="38" t="str">
        <f t="shared" si="2"/>
        <v>0</v>
      </c>
      <c r="BA33" s="38" t="str">
        <f t="shared" si="3"/>
        <v>0</v>
      </c>
      <c r="BB33" s="38" t="str">
        <f t="shared" si="4"/>
        <v>0</v>
      </c>
      <c r="BC33" s="38">
        <f t="shared" si="5"/>
        <v>0</v>
      </c>
      <c r="BD33" s="38">
        <f t="shared" si="6"/>
        <v>0</v>
      </c>
      <c r="BL33" s="38" t="str">
        <f t="shared" si="7"/>
        <v/>
      </c>
      <c r="BM33" s="38" t="str">
        <f t="shared" si="8"/>
        <v/>
      </c>
      <c r="BN33" s="38" t="str">
        <f t="shared" si="9"/>
        <v/>
      </c>
      <c r="BO33" s="38" t="str">
        <f t="shared" si="10"/>
        <v/>
      </c>
      <c r="BP33" s="38" t="str">
        <f t="shared" si="11"/>
        <v/>
      </c>
      <c r="BQ33" s="38" t="str">
        <f t="shared" si="12"/>
        <v/>
      </c>
    </row>
    <row r="34" spans="1:69" ht="15.6" x14ac:dyDescent="0.3">
      <c r="A34" s="124" t="s">
        <v>265</v>
      </c>
      <c r="B34" s="397">
        <f>IF(ISBLANK(HLOOKUP($F$25,spelerslijsten!$B$1:$J$22,12,FALSE)),"",HLOOKUP($F$25,spelerslijsten!$B$1:$J$22,12,FALSE))</f>
        <v>7</v>
      </c>
      <c r="C34" s="398"/>
      <c r="D34" s="121"/>
      <c r="E34" s="122" t="str">
        <f>IF(ISBLANK(HLOOKUP($F$25,spelerslijsten!$B$1:$J$22,11,FALSE)),"",HLOOKUP($F$25,spelerslijsten!$B$1:$J$22,11,FALSE))</f>
        <v>Mieke van Gerwen</v>
      </c>
      <c r="F34" s="12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08">
        <f t="shared" si="23"/>
        <v>0</v>
      </c>
      <c r="W34" s="109" t="str">
        <f t="shared" si="24"/>
        <v/>
      </c>
      <c r="X34" s="110" t="str">
        <f t="shared" si="25"/>
        <v/>
      </c>
      <c r="Y34" s="103" t="str">
        <f t="shared" si="26"/>
        <v/>
      </c>
      <c r="Z34" s="111"/>
      <c r="AA34" s="112"/>
      <c r="AB34" s="113" t="str">
        <f t="shared" si="16"/>
        <v>-</v>
      </c>
      <c r="AC34" s="112"/>
      <c r="AD34" s="114"/>
      <c r="AE34" s="115"/>
      <c r="AF34" s="115"/>
      <c r="AG34" s="116"/>
      <c r="AH34" s="117"/>
      <c r="AI34" s="117"/>
      <c r="AJ34" s="342"/>
      <c r="AK34" s="343"/>
      <c r="AL34" s="346"/>
      <c r="AM34" s="347"/>
      <c r="AN34" s="118"/>
      <c r="AO34" s="101" t="str">
        <f t="shared" si="19"/>
        <v/>
      </c>
      <c r="AP34" s="113" t="str">
        <f t="shared" si="20"/>
        <v>-</v>
      </c>
      <c r="AQ34" s="119"/>
      <c r="AR34" s="103" t="str">
        <f t="shared" si="21"/>
        <v/>
      </c>
      <c r="AT34" s="38" t="str">
        <f t="shared" si="27"/>
        <v>B7</v>
      </c>
      <c r="AU34" s="38">
        <f t="shared" si="18"/>
        <v>0</v>
      </c>
      <c r="AY34" s="38" t="str">
        <f t="shared" si="1"/>
        <v/>
      </c>
      <c r="AZ34" s="38" t="str">
        <f t="shared" si="2"/>
        <v>0</v>
      </c>
      <c r="BA34" s="38" t="str">
        <f t="shared" si="3"/>
        <v>0</v>
      </c>
      <c r="BB34" s="38" t="str">
        <f t="shared" si="4"/>
        <v>0</v>
      </c>
      <c r="BC34" s="38">
        <f t="shared" si="5"/>
        <v>0</v>
      </c>
      <c r="BD34" s="38">
        <f t="shared" si="6"/>
        <v>0</v>
      </c>
      <c r="BL34" s="38" t="str">
        <f t="shared" si="7"/>
        <v/>
      </c>
      <c r="BM34" s="38" t="str">
        <f t="shared" si="8"/>
        <v/>
      </c>
      <c r="BN34" s="38" t="str">
        <f t="shared" si="9"/>
        <v/>
      </c>
      <c r="BO34" s="38" t="str">
        <f t="shared" si="10"/>
        <v/>
      </c>
      <c r="BP34" s="38" t="str">
        <f t="shared" si="11"/>
        <v/>
      </c>
      <c r="BQ34" s="38" t="str">
        <f t="shared" si="12"/>
        <v/>
      </c>
    </row>
    <row r="35" spans="1:69" ht="15.6" x14ac:dyDescent="0.3">
      <c r="A35" s="124" t="s">
        <v>265</v>
      </c>
      <c r="B35" s="397">
        <f>IF(ISBLANK(HLOOKUP($F$25,spelerslijsten!$B$1:$J$22,14,FALSE)),"",HLOOKUP($F$25,spelerslijsten!$B$1:$J$22,14,FALSE))</f>
        <v>8</v>
      </c>
      <c r="C35" s="398"/>
      <c r="D35" s="121"/>
      <c r="E35" s="122" t="str">
        <f>IF(ISBLANK(HLOOKUP($F$25,spelerslijsten!$B$1:$J$22,13,FALSE)),"",HLOOKUP($F$25,spelerslijsten!$B$1:$J$22,13,FALSE))</f>
        <v>Susan van Wanrooy</v>
      </c>
      <c r="F35" s="12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08">
        <f t="shared" si="23"/>
        <v>1</v>
      </c>
      <c r="W35" s="109" t="str">
        <f t="shared" si="24"/>
        <v/>
      </c>
      <c r="X35" s="110" t="str">
        <f t="shared" si="25"/>
        <v/>
      </c>
      <c r="Y35" s="103" t="str">
        <f t="shared" si="26"/>
        <v/>
      </c>
      <c r="Z35" s="111"/>
      <c r="AA35" s="112"/>
      <c r="AB35" s="113" t="str">
        <f t="shared" si="16"/>
        <v>-</v>
      </c>
      <c r="AC35" s="112"/>
      <c r="AD35" s="114"/>
      <c r="AE35" s="115"/>
      <c r="AF35" s="115"/>
      <c r="AG35" s="116"/>
      <c r="AH35" s="117"/>
      <c r="AI35" s="117"/>
      <c r="AJ35" s="342"/>
      <c r="AK35" s="343"/>
      <c r="AL35" s="346"/>
      <c r="AM35" s="347"/>
      <c r="AN35" s="118"/>
      <c r="AO35" s="101" t="str">
        <f t="shared" si="19"/>
        <v/>
      </c>
      <c r="AP35" s="113" t="str">
        <f t="shared" si="20"/>
        <v>-</v>
      </c>
      <c r="AQ35" s="119"/>
      <c r="AR35" s="103" t="str">
        <f t="shared" si="21"/>
        <v/>
      </c>
      <c r="AT35" s="38" t="str">
        <f t="shared" si="27"/>
        <v>B8</v>
      </c>
      <c r="AU35" s="38">
        <f t="shared" si="18"/>
        <v>0</v>
      </c>
      <c r="AY35" s="38" t="str">
        <f t="shared" si="1"/>
        <v/>
      </c>
      <c r="AZ35" s="38" t="str">
        <f t="shared" si="2"/>
        <v>0</v>
      </c>
      <c r="BA35" s="38" t="str">
        <f t="shared" si="3"/>
        <v>0</v>
      </c>
      <c r="BB35" s="38" t="str">
        <f t="shared" si="4"/>
        <v>0</v>
      </c>
      <c r="BC35" s="38">
        <f t="shared" si="5"/>
        <v>0</v>
      </c>
      <c r="BD35" s="38">
        <f t="shared" si="6"/>
        <v>0</v>
      </c>
      <c r="BL35" s="38" t="str">
        <f t="shared" si="7"/>
        <v/>
      </c>
      <c r="BM35" s="38" t="str">
        <f t="shared" si="8"/>
        <v/>
      </c>
      <c r="BN35" s="38" t="str">
        <f t="shared" si="9"/>
        <v/>
      </c>
      <c r="BO35" s="38" t="str">
        <f t="shared" si="10"/>
        <v/>
      </c>
      <c r="BP35" s="38" t="str">
        <f t="shared" si="11"/>
        <v/>
      </c>
      <c r="BQ35" s="38" t="str">
        <f t="shared" si="12"/>
        <v/>
      </c>
    </row>
    <row r="36" spans="1:69" ht="15.6" x14ac:dyDescent="0.3">
      <c r="A36" s="124" t="s">
        <v>265</v>
      </c>
      <c r="B36" s="397">
        <f>IF(ISBLANK(HLOOKUP($F$25,spelerslijsten!$B$1:$J$22,16,FALSE)),"",HLOOKUP($F$25,spelerslijsten!$B$1:$J$22,16,FALSE))</f>
        <v>10</v>
      </c>
      <c r="C36" s="398"/>
      <c r="D36" s="121"/>
      <c r="E36" s="122" t="str">
        <f>IF(ISBLANK(HLOOKUP($F$25,spelerslijsten!$B$1:$J$22,15,FALSE)),"",HLOOKUP($F$25,spelerslijsten!$B$1:$J$22,15,FALSE))</f>
        <v>Jeffrey Danen</v>
      </c>
      <c r="F36" s="12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08">
        <f t="shared" si="23"/>
        <v>2</v>
      </c>
      <c r="W36" s="109" t="str">
        <f t="shared" si="24"/>
        <v/>
      </c>
      <c r="X36" s="110" t="str">
        <f t="shared" si="25"/>
        <v/>
      </c>
      <c r="Y36" s="103" t="str">
        <f t="shared" si="26"/>
        <v/>
      </c>
      <c r="Z36" s="111"/>
      <c r="AA36" s="112"/>
      <c r="AB36" s="113" t="str">
        <f t="shared" si="16"/>
        <v>-</v>
      </c>
      <c r="AC36" s="112"/>
      <c r="AD36" s="114"/>
      <c r="AE36" s="115"/>
      <c r="AF36" s="115"/>
      <c r="AG36" s="116"/>
      <c r="AH36" s="117"/>
      <c r="AI36" s="117"/>
      <c r="AJ36" s="342"/>
      <c r="AK36" s="343"/>
      <c r="AL36" s="346"/>
      <c r="AM36" s="347"/>
      <c r="AN36" s="118"/>
      <c r="AO36" s="101" t="str">
        <f t="shared" si="19"/>
        <v/>
      </c>
      <c r="AP36" s="113" t="str">
        <f t="shared" si="20"/>
        <v>-</v>
      </c>
      <c r="AQ36" s="119"/>
      <c r="AR36" s="103" t="str">
        <f t="shared" si="21"/>
        <v/>
      </c>
      <c r="AT36" s="38" t="str">
        <f t="shared" si="27"/>
        <v>B10</v>
      </c>
      <c r="AU36" s="38">
        <f t="shared" si="18"/>
        <v>0</v>
      </c>
      <c r="AY36" s="38" t="str">
        <f t="shared" si="1"/>
        <v/>
      </c>
      <c r="AZ36" s="38" t="str">
        <f t="shared" si="2"/>
        <v>0</v>
      </c>
      <c r="BA36" s="38" t="str">
        <f t="shared" si="3"/>
        <v>0</v>
      </c>
      <c r="BB36" s="38" t="str">
        <f t="shared" si="4"/>
        <v>0</v>
      </c>
      <c r="BC36" s="38">
        <f t="shared" si="5"/>
        <v>0</v>
      </c>
      <c r="BD36" s="38">
        <f t="shared" si="6"/>
        <v>0</v>
      </c>
      <c r="BL36" s="38" t="str">
        <f t="shared" si="7"/>
        <v/>
      </c>
      <c r="BM36" s="38" t="str">
        <f t="shared" si="8"/>
        <v/>
      </c>
      <c r="BN36" s="38" t="str">
        <f t="shared" si="9"/>
        <v/>
      </c>
      <c r="BO36" s="38" t="str">
        <f t="shared" si="10"/>
        <v/>
      </c>
      <c r="BP36" s="38" t="str">
        <f t="shared" si="11"/>
        <v/>
      </c>
      <c r="BQ36" s="38" t="str">
        <f t="shared" si="12"/>
        <v/>
      </c>
    </row>
    <row r="37" spans="1:69" ht="15.6" x14ac:dyDescent="0.3">
      <c r="A37" s="124"/>
      <c r="B37" s="397" t="str">
        <f>IF(ISBLANK(HLOOKUP($F$25,spelerslijsten!$B$1:$J$22,18,FALSE)),"",HLOOKUP($F$25,spelerslijsten!$B$1:$J$22,18,FALSE))</f>
        <v/>
      </c>
      <c r="C37" s="398"/>
      <c r="D37" s="121"/>
      <c r="E37" s="122" t="str">
        <f>IF(ISBLANK(HLOOKUP($F$25,spelerslijsten!$B$1:$J$22,17,FALSE)),"",HLOOKUP($F$25,spelerslijsten!$B$1:$J$22,17,FALSE))</f>
        <v/>
      </c>
      <c r="F37" s="12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08">
        <f t="shared" si="23"/>
        <v>0</v>
      </c>
      <c r="W37" s="109" t="str">
        <f t="shared" si="24"/>
        <v/>
      </c>
      <c r="X37" s="110" t="str">
        <f t="shared" si="25"/>
        <v/>
      </c>
      <c r="Y37" s="103" t="str">
        <f t="shared" si="26"/>
        <v/>
      </c>
      <c r="Z37" s="111"/>
      <c r="AA37" s="112"/>
      <c r="AB37" s="113" t="str">
        <f t="shared" si="16"/>
        <v>-</v>
      </c>
      <c r="AC37" s="112"/>
      <c r="AD37" s="114"/>
      <c r="AE37" s="115"/>
      <c r="AF37" s="115"/>
      <c r="AG37" s="116"/>
      <c r="AH37" s="117"/>
      <c r="AI37" s="117"/>
      <c r="AJ37" s="342"/>
      <c r="AK37" s="343"/>
      <c r="AL37" s="346"/>
      <c r="AM37" s="347"/>
      <c r="AN37" s="118"/>
      <c r="AO37" s="101" t="str">
        <f t="shared" si="19"/>
        <v/>
      </c>
      <c r="AP37" s="113" t="str">
        <f t="shared" si="20"/>
        <v>-</v>
      </c>
      <c r="AQ37" s="119"/>
      <c r="AR37" s="103" t="str">
        <f t="shared" si="21"/>
        <v/>
      </c>
      <c r="AT37" s="38" t="str">
        <f t="shared" si="27"/>
        <v>B</v>
      </c>
      <c r="AU37" s="38">
        <f t="shared" si="18"/>
        <v>0</v>
      </c>
      <c r="AY37" s="38" t="str">
        <f t="shared" si="1"/>
        <v/>
      </c>
      <c r="AZ37" s="38" t="str">
        <f t="shared" si="2"/>
        <v>0</v>
      </c>
      <c r="BA37" s="38" t="str">
        <f t="shared" si="3"/>
        <v>0</v>
      </c>
      <c r="BB37" s="38" t="str">
        <f t="shared" si="4"/>
        <v>0</v>
      </c>
      <c r="BC37" s="38">
        <f t="shared" si="5"/>
        <v>0</v>
      </c>
      <c r="BD37" s="38">
        <f t="shared" si="6"/>
        <v>0</v>
      </c>
      <c r="BL37" s="38" t="str">
        <f t="shared" si="7"/>
        <v/>
      </c>
      <c r="BM37" s="38" t="str">
        <f t="shared" si="8"/>
        <v/>
      </c>
      <c r="BN37" s="38" t="str">
        <f t="shared" si="9"/>
        <v/>
      </c>
      <c r="BO37" s="38" t="str">
        <f t="shared" si="10"/>
        <v/>
      </c>
      <c r="BP37" s="38" t="str">
        <f t="shared" si="11"/>
        <v/>
      </c>
      <c r="BQ37" s="38" t="str">
        <f t="shared" si="12"/>
        <v/>
      </c>
    </row>
    <row r="38" spans="1:69" ht="15.6" x14ac:dyDescent="0.3">
      <c r="A38" s="124"/>
      <c r="B38" s="397" t="str">
        <f>IF(ISBLANK(HLOOKUP($F$25,spelerslijsten!$B$1:$J$22,20,FALSE)),"",HLOOKUP($F$25,spelerslijsten!$B$1:$J$22,20,FALSE))</f>
        <v/>
      </c>
      <c r="C38" s="398"/>
      <c r="D38" s="121"/>
      <c r="E38" s="122" t="str">
        <f>IF(ISBLANK(HLOOKUP($F$25,spelerslijsten!$B$1:$J$22,19,FALSE)),"",HLOOKUP($F$25,spelerslijsten!$B$1:$J$22,19,FALSE))</f>
        <v/>
      </c>
      <c r="F38" s="12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08">
        <f t="shared" si="23"/>
        <v>0</v>
      </c>
      <c r="W38" s="109" t="str">
        <f t="shared" si="24"/>
        <v/>
      </c>
      <c r="X38" s="110" t="str">
        <f t="shared" si="25"/>
        <v/>
      </c>
      <c r="Y38" s="103" t="str">
        <f t="shared" si="26"/>
        <v/>
      </c>
      <c r="Z38" s="111"/>
      <c r="AA38" s="112"/>
      <c r="AB38" s="113" t="str">
        <f t="shared" si="16"/>
        <v>-</v>
      </c>
      <c r="AC38" s="112"/>
      <c r="AD38" s="114"/>
      <c r="AE38" s="115"/>
      <c r="AF38" s="115"/>
      <c r="AG38" s="116"/>
      <c r="AH38" s="117"/>
      <c r="AI38" s="117"/>
      <c r="AJ38" s="342"/>
      <c r="AK38" s="343"/>
      <c r="AL38" s="346"/>
      <c r="AM38" s="347"/>
      <c r="AN38" s="118"/>
      <c r="AO38" s="101" t="str">
        <f t="shared" si="19"/>
        <v/>
      </c>
      <c r="AP38" s="113" t="str">
        <f t="shared" si="20"/>
        <v>-</v>
      </c>
      <c r="AQ38" s="119"/>
      <c r="AR38" s="103" t="str">
        <f t="shared" si="21"/>
        <v/>
      </c>
      <c r="AT38" s="38" t="str">
        <f t="shared" si="27"/>
        <v>B</v>
      </c>
      <c r="AU38" s="38">
        <f t="shared" si="18"/>
        <v>0</v>
      </c>
      <c r="AY38" s="38" t="str">
        <f t="shared" si="1"/>
        <v/>
      </c>
      <c r="AZ38" s="38" t="str">
        <f t="shared" si="2"/>
        <v>0</v>
      </c>
      <c r="BA38" s="38" t="str">
        <f t="shared" si="3"/>
        <v>0</v>
      </c>
      <c r="BB38" s="38" t="str">
        <f t="shared" si="4"/>
        <v>0</v>
      </c>
      <c r="BC38" s="38">
        <f t="shared" si="5"/>
        <v>0</v>
      </c>
      <c r="BD38" s="38">
        <f t="shared" si="6"/>
        <v>0</v>
      </c>
      <c r="BL38" s="38" t="str">
        <f t="shared" si="7"/>
        <v/>
      </c>
      <c r="BM38" s="38" t="str">
        <f t="shared" si="8"/>
        <v/>
      </c>
      <c r="BN38" s="38" t="str">
        <f t="shared" si="9"/>
        <v/>
      </c>
      <c r="BO38" s="38" t="str">
        <f t="shared" si="10"/>
        <v/>
      </c>
      <c r="BP38" s="38" t="str">
        <f t="shared" si="11"/>
        <v/>
      </c>
      <c r="BQ38" s="38" t="str">
        <f t="shared" si="12"/>
        <v/>
      </c>
    </row>
    <row r="39" spans="1:69" ht="15.6" x14ac:dyDescent="0.3">
      <c r="A39" s="125"/>
      <c r="B39" s="397" t="str">
        <f>IF(ISBLANK(HLOOKUP($F$25,spelerslijsten!$B$1:$J$22,22,FALSE)),"",HLOOKUP($F$25,spelerslijsten!$B$1:$J$22,22,FALSE))</f>
        <v/>
      </c>
      <c r="C39" s="398"/>
      <c r="D39" s="126"/>
      <c r="E39" s="259" t="str">
        <f>IF(ISBLANK(HLOOKUP($F$25,spelerslijsten!$B$1:$J$22,21,FALSE)),"",HLOOKUP($F$25,spelerslijsten!$B$1:$J$22,21,FALSE))</f>
        <v/>
      </c>
      <c r="F39" s="126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08">
        <f t="shared" si="23"/>
        <v>0</v>
      </c>
      <c r="W39" s="109" t="str">
        <f t="shared" si="24"/>
        <v/>
      </c>
      <c r="X39" s="110" t="str">
        <f t="shared" si="25"/>
        <v/>
      </c>
      <c r="Y39" s="103" t="str">
        <f t="shared" si="26"/>
        <v/>
      </c>
      <c r="Z39" s="111"/>
      <c r="AA39" s="112"/>
      <c r="AB39" s="113" t="str">
        <f t="shared" si="16"/>
        <v>-</v>
      </c>
      <c r="AC39" s="112"/>
      <c r="AD39" s="114"/>
      <c r="AE39" s="115"/>
      <c r="AF39" s="115"/>
      <c r="AG39" s="116"/>
      <c r="AH39" s="117"/>
      <c r="AI39" s="117"/>
      <c r="AJ39" s="342"/>
      <c r="AK39" s="343"/>
      <c r="AL39" s="346"/>
      <c r="AM39" s="347"/>
      <c r="AN39" s="118"/>
      <c r="AO39" s="101" t="str">
        <f t="shared" si="19"/>
        <v/>
      </c>
      <c r="AP39" s="113" t="str">
        <f t="shared" si="20"/>
        <v>-</v>
      </c>
      <c r="AQ39" s="119"/>
      <c r="AR39" s="103" t="str">
        <f t="shared" si="21"/>
        <v/>
      </c>
      <c r="AT39" s="38" t="str">
        <f t="shared" si="27"/>
        <v>B</v>
      </c>
      <c r="AU39" s="38">
        <f t="shared" si="18"/>
        <v>0</v>
      </c>
      <c r="AY39" s="38" t="str">
        <f t="shared" si="1"/>
        <v/>
      </c>
      <c r="AZ39" s="38" t="str">
        <f t="shared" si="2"/>
        <v>0</v>
      </c>
      <c r="BA39" s="38" t="str">
        <f t="shared" si="3"/>
        <v>0</v>
      </c>
      <c r="BB39" s="38" t="str">
        <f t="shared" si="4"/>
        <v>0</v>
      </c>
      <c r="BC39" s="38">
        <f t="shared" si="5"/>
        <v>0</v>
      </c>
      <c r="BD39" s="38">
        <f t="shared" si="6"/>
        <v>0</v>
      </c>
      <c r="BL39" s="38" t="str">
        <f t="shared" si="7"/>
        <v/>
      </c>
      <c r="BM39" s="38" t="str">
        <f t="shared" si="8"/>
        <v/>
      </c>
      <c r="BN39" s="38" t="str">
        <f t="shared" si="9"/>
        <v/>
      </c>
      <c r="BO39" s="38" t="str">
        <f t="shared" si="10"/>
        <v/>
      </c>
      <c r="BP39" s="38" t="str">
        <f t="shared" si="11"/>
        <v/>
      </c>
      <c r="BQ39" s="38" t="str">
        <f t="shared" si="12"/>
        <v/>
      </c>
    </row>
    <row r="40" spans="1:69" ht="16.2" thickBot="1" x14ac:dyDescent="0.35">
      <c r="A40" s="71" t="s">
        <v>67</v>
      </c>
      <c r="B40" s="72"/>
      <c r="C40" s="72"/>
      <c r="D40" s="72"/>
      <c r="E40" s="72"/>
      <c r="F40" s="72"/>
      <c r="G40" s="72"/>
      <c r="H40" s="72"/>
      <c r="I40" s="399">
        <f>HLOOKUP(F25,spelerslijsten!B1:J25,25,FALSE)</f>
        <v>2</v>
      </c>
      <c r="J40" s="400"/>
      <c r="K40" s="74" t="s">
        <v>23</v>
      </c>
      <c r="L40" s="72"/>
      <c r="M40" s="72"/>
      <c r="N40" s="129" t="str">
        <f>HLOOKUP(F25,spelerslijsten!B1:J25,23,FALSE)</f>
        <v>Mieke Reijnders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30"/>
      <c r="Z40" s="111"/>
      <c r="AA40" s="112"/>
      <c r="AB40" s="113" t="str">
        <f t="shared" si="16"/>
        <v>-</v>
      </c>
      <c r="AC40" s="112"/>
      <c r="AD40" s="114"/>
      <c r="AE40" s="115"/>
      <c r="AF40" s="115"/>
      <c r="AG40" s="116"/>
      <c r="AH40" s="117"/>
      <c r="AI40" s="117"/>
      <c r="AJ40" s="342"/>
      <c r="AK40" s="343"/>
      <c r="AL40" s="346"/>
      <c r="AM40" s="347"/>
      <c r="AN40" s="118"/>
      <c r="AO40" s="101" t="str">
        <f t="shared" si="19"/>
        <v/>
      </c>
      <c r="AP40" s="113" t="str">
        <f t="shared" si="20"/>
        <v>-</v>
      </c>
      <c r="AQ40" s="119"/>
      <c r="AR40" s="103" t="str">
        <f t="shared" si="21"/>
        <v/>
      </c>
      <c r="AY40" s="38" t="str">
        <f t="shared" si="1"/>
        <v/>
      </c>
      <c r="AZ40" s="38" t="str">
        <f t="shared" si="2"/>
        <v>0</v>
      </c>
      <c r="BA40" s="38" t="str">
        <f t="shared" si="3"/>
        <v>0</v>
      </c>
      <c r="BB40" s="38" t="str">
        <f t="shared" si="4"/>
        <v>0</v>
      </c>
      <c r="BC40" s="38">
        <f t="shared" si="5"/>
        <v>0</v>
      </c>
      <c r="BD40" s="38">
        <f t="shared" si="6"/>
        <v>0</v>
      </c>
      <c r="BL40" s="38" t="str">
        <f t="shared" si="7"/>
        <v/>
      </c>
      <c r="BM40" s="38" t="str">
        <f t="shared" si="8"/>
        <v/>
      </c>
      <c r="BN40" s="38" t="str">
        <f t="shared" si="9"/>
        <v/>
      </c>
      <c r="BO40" s="38" t="str">
        <f t="shared" si="10"/>
        <v/>
      </c>
      <c r="BP40" s="38" t="str">
        <f t="shared" si="11"/>
        <v/>
      </c>
      <c r="BQ40" s="38" t="str">
        <f t="shared" si="12"/>
        <v/>
      </c>
    </row>
    <row r="41" spans="1:69" ht="15.6" x14ac:dyDescent="0.3">
      <c r="A41" s="157" t="s">
        <v>68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158"/>
      <c r="Z41" s="111"/>
      <c r="AA41" s="112"/>
      <c r="AB41" s="113" t="str">
        <f t="shared" si="16"/>
        <v>-</v>
      </c>
      <c r="AC41" s="112"/>
      <c r="AD41" s="114"/>
      <c r="AE41" s="115"/>
      <c r="AF41" s="115"/>
      <c r="AG41" s="116"/>
      <c r="AH41" s="117"/>
      <c r="AI41" s="117"/>
      <c r="AJ41" s="342"/>
      <c r="AK41" s="343"/>
      <c r="AL41" s="346"/>
      <c r="AM41" s="347"/>
      <c r="AN41" s="118"/>
      <c r="AO41" s="101" t="str">
        <f t="shared" si="19"/>
        <v/>
      </c>
      <c r="AP41" s="113" t="str">
        <f t="shared" si="20"/>
        <v>-</v>
      </c>
      <c r="AQ41" s="119"/>
      <c r="AR41" s="103" t="str">
        <f t="shared" si="21"/>
        <v/>
      </c>
      <c r="AY41" s="38" t="str">
        <f t="shared" si="1"/>
        <v/>
      </c>
      <c r="AZ41" s="38" t="str">
        <f t="shared" si="2"/>
        <v>0</v>
      </c>
      <c r="BA41" s="38" t="str">
        <f t="shared" si="3"/>
        <v>0</v>
      </c>
      <c r="BB41" s="38" t="str">
        <f t="shared" si="4"/>
        <v>0</v>
      </c>
      <c r="BC41" s="38">
        <f t="shared" si="5"/>
        <v>0</v>
      </c>
      <c r="BD41" s="38">
        <f t="shared" si="6"/>
        <v>0</v>
      </c>
      <c r="BL41" s="38" t="str">
        <f t="shared" si="7"/>
        <v/>
      </c>
      <c r="BM41" s="38" t="str">
        <f t="shared" si="8"/>
        <v/>
      </c>
      <c r="BN41" s="38" t="str">
        <f t="shared" si="9"/>
        <v/>
      </c>
      <c r="BO41" s="38" t="str">
        <f t="shared" si="10"/>
        <v/>
      </c>
      <c r="BP41" s="38" t="str">
        <f t="shared" si="11"/>
        <v/>
      </c>
      <c r="BQ41" s="38" t="str">
        <f t="shared" si="12"/>
        <v/>
      </c>
    </row>
    <row r="42" spans="1:69" ht="15.6" x14ac:dyDescent="0.3">
      <c r="A42" s="15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60"/>
      <c r="Z42" s="111"/>
      <c r="AA42" s="112"/>
      <c r="AB42" s="113" t="str">
        <f t="shared" si="16"/>
        <v>-</v>
      </c>
      <c r="AC42" s="112"/>
      <c r="AD42" s="114"/>
      <c r="AE42" s="115"/>
      <c r="AF42" s="115"/>
      <c r="AG42" s="116"/>
      <c r="AH42" s="117"/>
      <c r="AI42" s="117"/>
      <c r="AJ42" s="342"/>
      <c r="AK42" s="343"/>
      <c r="AL42" s="346"/>
      <c r="AM42" s="347"/>
      <c r="AN42" s="118"/>
      <c r="AO42" s="101" t="str">
        <f t="shared" si="19"/>
        <v/>
      </c>
      <c r="AP42" s="113" t="str">
        <f t="shared" si="20"/>
        <v>-</v>
      </c>
      <c r="AQ42" s="119"/>
      <c r="AR42" s="103" t="str">
        <f t="shared" si="21"/>
        <v/>
      </c>
      <c r="AY42" s="38" t="str">
        <f t="shared" si="1"/>
        <v/>
      </c>
      <c r="AZ42" s="38" t="str">
        <f t="shared" si="2"/>
        <v>0</v>
      </c>
      <c r="BA42" s="38" t="str">
        <f t="shared" si="3"/>
        <v>0</v>
      </c>
      <c r="BB42" s="38" t="str">
        <f t="shared" si="4"/>
        <v>0</v>
      </c>
      <c r="BC42" s="38">
        <f t="shared" si="5"/>
        <v>0</v>
      </c>
      <c r="BD42" s="38">
        <f t="shared" si="6"/>
        <v>0</v>
      </c>
      <c r="BL42" s="38" t="str">
        <f t="shared" si="7"/>
        <v/>
      </c>
      <c r="BM42" s="38" t="str">
        <f t="shared" si="8"/>
        <v/>
      </c>
      <c r="BN42" s="38" t="str">
        <f t="shared" si="9"/>
        <v/>
      </c>
      <c r="BO42" s="38" t="str">
        <f t="shared" si="10"/>
        <v/>
      </c>
      <c r="BP42" s="38" t="str">
        <f t="shared" si="11"/>
        <v/>
      </c>
      <c r="BQ42" s="38" t="str">
        <f t="shared" si="12"/>
        <v/>
      </c>
    </row>
    <row r="43" spans="1:69" ht="15.6" x14ac:dyDescent="0.3">
      <c r="A43" s="16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62"/>
      <c r="Z43" s="111"/>
      <c r="AA43" s="112"/>
      <c r="AB43" s="113" t="str">
        <f t="shared" si="16"/>
        <v>-</v>
      </c>
      <c r="AC43" s="112"/>
      <c r="AD43" s="114"/>
      <c r="AE43" s="115"/>
      <c r="AF43" s="115"/>
      <c r="AG43" s="116"/>
      <c r="AH43" s="117"/>
      <c r="AI43" s="117"/>
      <c r="AJ43" s="342"/>
      <c r="AK43" s="343"/>
      <c r="AL43" s="346"/>
      <c r="AM43" s="347"/>
      <c r="AN43" s="118"/>
      <c r="AO43" s="101" t="str">
        <f t="shared" si="19"/>
        <v/>
      </c>
      <c r="AP43" s="113" t="str">
        <f t="shared" si="20"/>
        <v>-</v>
      </c>
      <c r="AQ43" s="119"/>
      <c r="AR43" s="103" t="str">
        <f t="shared" si="21"/>
        <v/>
      </c>
      <c r="AY43" s="38" t="str">
        <f t="shared" si="1"/>
        <v/>
      </c>
      <c r="AZ43" s="38" t="str">
        <f t="shared" si="2"/>
        <v>0</v>
      </c>
      <c r="BA43" s="38" t="str">
        <f t="shared" si="3"/>
        <v>0</v>
      </c>
      <c r="BB43" s="38" t="str">
        <f t="shared" si="4"/>
        <v>0</v>
      </c>
      <c r="BC43" s="38">
        <f t="shared" si="5"/>
        <v>0</v>
      </c>
      <c r="BD43" s="38">
        <f t="shared" si="6"/>
        <v>0</v>
      </c>
      <c r="BL43" s="38" t="str">
        <f t="shared" si="7"/>
        <v/>
      </c>
      <c r="BM43" s="38" t="str">
        <f t="shared" si="8"/>
        <v/>
      </c>
      <c r="BN43" s="38" t="str">
        <f t="shared" si="9"/>
        <v/>
      </c>
      <c r="BO43" s="38" t="str">
        <f t="shared" si="10"/>
        <v/>
      </c>
      <c r="BP43" s="38" t="str">
        <f t="shared" si="11"/>
        <v/>
      </c>
      <c r="BQ43" s="38" t="str">
        <f t="shared" si="12"/>
        <v/>
      </c>
    </row>
    <row r="44" spans="1:69" ht="15.6" x14ac:dyDescent="0.3">
      <c r="A44" s="16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62"/>
      <c r="Z44" s="111"/>
      <c r="AA44" s="112"/>
      <c r="AB44" s="113" t="str">
        <f t="shared" si="16"/>
        <v>-</v>
      </c>
      <c r="AC44" s="112"/>
      <c r="AD44" s="114"/>
      <c r="AE44" s="115"/>
      <c r="AF44" s="115"/>
      <c r="AG44" s="116"/>
      <c r="AH44" s="117"/>
      <c r="AI44" s="117"/>
      <c r="AJ44" s="342"/>
      <c r="AK44" s="343"/>
      <c r="AL44" s="346"/>
      <c r="AM44" s="347"/>
      <c r="AN44" s="118"/>
      <c r="AO44" s="101" t="str">
        <f t="shared" si="19"/>
        <v/>
      </c>
      <c r="AP44" s="113" t="str">
        <f t="shared" si="20"/>
        <v>-</v>
      </c>
      <c r="AQ44" s="119"/>
      <c r="AR44" s="103" t="str">
        <f t="shared" si="21"/>
        <v/>
      </c>
      <c r="AY44" s="38" t="str">
        <f t="shared" si="1"/>
        <v/>
      </c>
      <c r="AZ44" s="38" t="str">
        <f t="shared" si="2"/>
        <v>0</v>
      </c>
      <c r="BA44" s="38" t="str">
        <f t="shared" si="3"/>
        <v>0</v>
      </c>
      <c r="BB44" s="38" t="str">
        <f t="shared" si="4"/>
        <v>0</v>
      </c>
      <c r="BC44" s="38">
        <f t="shared" si="5"/>
        <v>0</v>
      </c>
      <c r="BD44" s="38">
        <f t="shared" si="6"/>
        <v>0</v>
      </c>
      <c r="BL44" s="38" t="str">
        <f t="shared" si="7"/>
        <v/>
      </c>
      <c r="BM44" s="38" t="str">
        <f t="shared" si="8"/>
        <v/>
      </c>
      <c r="BN44" s="38" t="str">
        <f t="shared" si="9"/>
        <v/>
      </c>
      <c r="BO44" s="38" t="str">
        <f t="shared" si="10"/>
        <v/>
      </c>
      <c r="BP44" s="38" t="str">
        <f t="shared" si="11"/>
        <v/>
      </c>
      <c r="BQ44" s="38" t="str">
        <f t="shared" si="12"/>
        <v/>
      </c>
    </row>
    <row r="45" spans="1:69" ht="15.6" x14ac:dyDescent="0.3">
      <c r="A45" s="16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62"/>
      <c r="Z45" s="111"/>
      <c r="AA45" s="112"/>
      <c r="AB45" s="113" t="str">
        <f>+AB44</f>
        <v>-</v>
      </c>
      <c r="AC45" s="112"/>
      <c r="AD45" s="114"/>
      <c r="AE45" s="115"/>
      <c r="AF45" s="115"/>
      <c r="AG45" s="116"/>
      <c r="AH45" s="117"/>
      <c r="AI45" s="117"/>
      <c r="AJ45" s="342"/>
      <c r="AK45" s="343"/>
      <c r="AL45" s="346"/>
      <c r="AM45" s="347"/>
      <c r="AN45" s="118"/>
      <c r="AO45" s="101" t="str">
        <f t="shared" si="19"/>
        <v/>
      </c>
      <c r="AP45" s="113" t="str">
        <f t="shared" si="20"/>
        <v>-</v>
      </c>
      <c r="AQ45" s="119"/>
      <c r="AR45" s="103" t="str">
        <f t="shared" si="21"/>
        <v/>
      </c>
      <c r="AY45" s="38" t="str">
        <f t="shared" si="1"/>
        <v/>
      </c>
      <c r="AZ45" s="38" t="str">
        <f t="shared" si="2"/>
        <v>0</v>
      </c>
      <c r="BA45" s="38" t="str">
        <f t="shared" si="3"/>
        <v>0</v>
      </c>
      <c r="BB45" s="38" t="str">
        <f t="shared" si="4"/>
        <v>0</v>
      </c>
      <c r="BC45" s="38">
        <f t="shared" si="5"/>
        <v>0</v>
      </c>
      <c r="BD45" s="38">
        <f t="shared" si="6"/>
        <v>0</v>
      </c>
      <c r="BL45" s="38" t="str">
        <f t="shared" si="7"/>
        <v/>
      </c>
      <c r="BM45" s="38" t="str">
        <f t="shared" si="8"/>
        <v/>
      </c>
      <c r="BN45" s="38" t="str">
        <f t="shared" si="9"/>
        <v/>
      </c>
      <c r="BO45" s="38" t="str">
        <f t="shared" si="10"/>
        <v/>
      </c>
      <c r="BP45" s="38" t="str">
        <f t="shared" si="11"/>
        <v/>
      </c>
      <c r="BQ45" s="38" t="str">
        <f t="shared" si="12"/>
        <v/>
      </c>
    </row>
    <row r="46" spans="1:69" ht="16.2" thickBot="1" x14ac:dyDescent="0.35">
      <c r="A46" s="163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64"/>
      <c r="Z46" s="165"/>
      <c r="AA46" s="166"/>
      <c r="AB46" s="167" t="str">
        <f>+AB45</f>
        <v>-</v>
      </c>
      <c r="AC46" s="166"/>
      <c r="AD46" s="168"/>
      <c r="AE46" s="169"/>
      <c r="AF46" s="169"/>
      <c r="AG46" s="170"/>
      <c r="AH46" s="171"/>
      <c r="AI46" s="171"/>
      <c r="AJ46" s="344"/>
      <c r="AK46" s="345"/>
      <c r="AL46" s="352"/>
      <c r="AM46" s="353"/>
      <c r="AN46" s="172"/>
      <c r="AO46" s="101" t="str">
        <f t="shared" si="19"/>
        <v/>
      </c>
      <c r="AP46" s="113" t="str">
        <f t="shared" si="20"/>
        <v>-</v>
      </c>
      <c r="AQ46" s="119"/>
      <c r="AR46" s="103" t="str">
        <f t="shared" si="21"/>
        <v/>
      </c>
      <c r="AY46" s="38" t="str">
        <f t="shared" si="1"/>
        <v/>
      </c>
      <c r="AZ46" s="38" t="str">
        <f t="shared" si="2"/>
        <v>0</v>
      </c>
      <c r="BA46" s="38" t="str">
        <f t="shared" si="3"/>
        <v>0</v>
      </c>
      <c r="BB46" s="38" t="str">
        <f t="shared" si="4"/>
        <v>0</v>
      </c>
      <c r="BC46" s="38">
        <f t="shared" si="5"/>
        <v>0</v>
      </c>
      <c r="BD46" s="38">
        <f t="shared" si="6"/>
        <v>0</v>
      </c>
      <c r="BL46" s="38" t="str">
        <f t="shared" si="7"/>
        <v/>
      </c>
      <c r="BM46" s="38" t="str">
        <f t="shared" si="8"/>
        <v/>
      </c>
      <c r="BN46" s="38" t="str">
        <f t="shared" si="9"/>
        <v/>
      </c>
      <c r="BO46" s="38" t="str">
        <f t="shared" si="10"/>
        <v/>
      </c>
      <c r="BP46" s="38" t="str">
        <f t="shared" si="11"/>
        <v/>
      </c>
      <c r="BQ46" s="38" t="str">
        <f t="shared" si="12"/>
        <v/>
      </c>
    </row>
    <row r="47" spans="1:69" ht="18.600000000000001" thickBot="1" x14ac:dyDescent="0.35">
      <c r="A47" s="173" t="s">
        <v>69</v>
      </c>
      <c r="B47" s="174"/>
      <c r="C47" s="174"/>
      <c r="D47" s="174"/>
      <c r="E47" s="174"/>
      <c r="F47" s="174"/>
      <c r="G47" s="174">
        <f>IF(AO52&gt;AR52,AO52,IF(AO52=AR52,AO52,AR52))</f>
        <v>5</v>
      </c>
      <c r="H47" s="175" t="s">
        <v>16</v>
      </c>
      <c r="I47" s="174">
        <f>IF(AO52&gt;AR52,AR52,IF(AO52=AR52,AR52,AO52))</f>
        <v>3</v>
      </c>
      <c r="J47" s="174"/>
      <c r="K47" s="174" t="s">
        <v>70</v>
      </c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6" t="str">
        <f>BE52</f>
        <v>WIT</v>
      </c>
      <c r="W47" s="174"/>
      <c r="X47" s="174"/>
      <c r="Y47" s="174"/>
      <c r="Z47" s="174"/>
      <c r="AA47" s="174"/>
      <c r="AB47" s="174"/>
      <c r="AC47" s="174"/>
      <c r="AD47" s="177"/>
      <c r="AE47" s="178" t="s">
        <v>71</v>
      </c>
      <c r="AF47" s="179"/>
      <c r="AG47" s="179"/>
      <c r="AH47" s="179"/>
      <c r="AI47" s="179"/>
      <c r="AJ47" s="174"/>
      <c r="AK47" s="174"/>
      <c r="AL47" s="403" t="s">
        <v>177</v>
      </c>
      <c r="AM47" s="404"/>
      <c r="AN47" s="404"/>
      <c r="AO47" s="404"/>
      <c r="AP47" s="404"/>
      <c r="AQ47" s="404"/>
      <c r="AR47" s="405"/>
    </row>
    <row r="48" spans="1:69" x14ac:dyDescent="0.3">
      <c r="A48" s="180" t="s">
        <v>72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2"/>
      <c r="P48" s="183" t="s">
        <v>72</v>
      </c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2"/>
      <c r="AC48" s="181"/>
      <c r="AD48" s="184"/>
      <c r="AE48" s="185" t="s">
        <v>72</v>
      </c>
      <c r="AF48" s="186"/>
      <c r="AG48" s="186"/>
      <c r="AH48" s="186"/>
      <c r="AI48" s="186"/>
      <c r="AJ48" s="181"/>
      <c r="AK48" s="181"/>
      <c r="AL48" s="181"/>
      <c r="AM48" s="181"/>
      <c r="AN48" s="181"/>
      <c r="AO48" s="186"/>
      <c r="AP48" s="181"/>
      <c r="AQ48" s="181"/>
      <c r="AR48" s="187"/>
    </row>
    <row r="49" spans="1:57" x14ac:dyDescent="0.3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/>
      <c r="P49" s="191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90"/>
      <c r="AC49" s="189"/>
      <c r="AD49" s="192"/>
      <c r="AE49" s="193"/>
      <c r="AF49" s="193"/>
      <c r="AG49" s="193"/>
      <c r="AH49" s="193"/>
      <c r="AI49" s="193"/>
      <c r="AJ49" s="189"/>
      <c r="AK49" s="189"/>
      <c r="AL49" s="189"/>
      <c r="AM49" s="189"/>
      <c r="AN49" s="189"/>
      <c r="AO49" s="193"/>
      <c r="AP49" s="189"/>
      <c r="AQ49" s="189"/>
      <c r="AR49" s="194"/>
    </row>
    <row r="50" spans="1:57" ht="14.4" thickBot="1" x14ac:dyDescent="0.3">
      <c r="A50" s="195" t="s">
        <v>73</v>
      </c>
      <c r="B50" s="196"/>
      <c r="C50" s="196"/>
      <c r="D50" s="196"/>
      <c r="E50" s="196"/>
      <c r="F50" s="196"/>
      <c r="G50" s="196"/>
      <c r="H50" s="197" t="s">
        <v>74</v>
      </c>
      <c r="I50" s="196"/>
      <c r="J50" s="196"/>
      <c r="K50" s="196"/>
      <c r="L50" s="196"/>
      <c r="M50" s="196"/>
      <c r="N50" s="196"/>
      <c r="O50" s="198"/>
      <c r="P50" s="199" t="s">
        <v>73</v>
      </c>
      <c r="Q50" s="196"/>
      <c r="R50" s="196"/>
      <c r="S50" s="196"/>
      <c r="T50" s="196"/>
      <c r="U50" s="196"/>
      <c r="V50" s="196"/>
      <c r="W50" s="197" t="s">
        <v>75</v>
      </c>
      <c r="X50" s="196"/>
      <c r="Y50" s="196"/>
      <c r="Z50" s="196"/>
      <c r="AA50" s="196"/>
      <c r="AB50" s="198"/>
      <c r="AC50" s="196"/>
      <c r="AD50" s="200"/>
      <c r="AE50" s="201" t="s">
        <v>25</v>
      </c>
      <c r="AF50" s="202"/>
      <c r="AG50" s="202"/>
      <c r="AH50" s="202"/>
      <c r="AI50" s="202"/>
      <c r="AJ50" s="203"/>
      <c r="AK50" s="203"/>
      <c r="AL50" s="203"/>
      <c r="AM50" s="203"/>
      <c r="AN50" s="203"/>
      <c r="AO50" s="202"/>
      <c r="AP50" s="203"/>
      <c r="AQ50" s="203"/>
      <c r="AR50" s="204"/>
    </row>
    <row r="52" spans="1:57" hidden="1" x14ac:dyDescent="0.3">
      <c r="AO52" s="40">
        <f>IF(AO13="","",MAX(AO13:AO46))</f>
        <v>5</v>
      </c>
      <c r="AR52" s="40">
        <f>IF(AR13="","",MAX(AR13:AR46))</f>
        <v>3</v>
      </c>
      <c r="AS52" s="38" t="str">
        <f>IF(AO13="","0","1")</f>
        <v>1</v>
      </c>
      <c r="BE52" s="38" t="str">
        <f>IF(AS52="0","WIT/BLAUW",IF(AO52&gt;AR52,"WIT",IF(AO52=AR52,"GELIJK","BLAUW")))</f>
        <v>WIT</v>
      </c>
    </row>
  </sheetData>
  <sheetProtection sheet="1" objects="1" scenarios="1"/>
  <mergeCells count="107">
    <mergeCell ref="B30:C30"/>
    <mergeCell ref="B31:C31"/>
    <mergeCell ref="B32:C32"/>
    <mergeCell ref="B33:C33"/>
    <mergeCell ref="B34:C34"/>
    <mergeCell ref="I40:J40"/>
    <mergeCell ref="B35:C35"/>
    <mergeCell ref="B36:C36"/>
    <mergeCell ref="B37:C37"/>
    <mergeCell ref="B38:C38"/>
    <mergeCell ref="B39:C39"/>
    <mergeCell ref="B23:C23"/>
    <mergeCell ref="I24:J24"/>
    <mergeCell ref="F25:Y28"/>
    <mergeCell ref="A26:D28"/>
    <mergeCell ref="AL27:AM27"/>
    <mergeCell ref="AL28:AM28"/>
    <mergeCell ref="AL23:AM23"/>
    <mergeCell ref="AL24:AM24"/>
    <mergeCell ref="AL25:AM25"/>
    <mergeCell ref="AL26:AM26"/>
    <mergeCell ref="AJ23:AK23"/>
    <mergeCell ref="AJ24:AK24"/>
    <mergeCell ref="AJ25:AK25"/>
    <mergeCell ref="AJ26:AK26"/>
    <mergeCell ref="AJ27:AK27"/>
    <mergeCell ref="AJ28:AK28"/>
    <mergeCell ref="F10:Y12"/>
    <mergeCell ref="Z10:AD12"/>
    <mergeCell ref="AJ10:AK12"/>
    <mergeCell ref="AL10:AM12"/>
    <mergeCell ref="AN10:AR11"/>
    <mergeCell ref="AN12:AO12"/>
    <mergeCell ref="AQ12:AR12"/>
    <mergeCell ref="AL17:AM17"/>
    <mergeCell ref="AJ17:AK17"/>
    <mergeCell ref="AL22:AM22"/>
    <mergeCell ref="D3:N3"/>
    <mergeCell ref="AL13:AM13"/>
    <mergeCell ref="AL14:AM14"/>
    <mergeCell ref="AL15:AM15"/>
    <mergeCell ref="AL16:AM16"/>
    <mergeCell ref="D4:E4"/>
    <mergeCell ref="G4:I4"/>
    <mergeCell ref="A11:D12"/>
    <mergeCell ref="B14:C14"/>
    <mergeCell ref="B15:C15"/>
    <mergeCell ref="B16:C16"/>
    <mergeCell ref="AJ13:AK13"/>
    <mergeCell ref="AJ14:AK14"/>
    <mergeCell ref="AJ15:AK15"/>
    <mergeCell ref="AJ16:AK16"/>
    <mergeCell ref="B18:C18"/>
    <mergeCell ref="B19:C19"/>
    <mergeCell ref="B20:C20"/>
    <mergeCell ref="B21:C21"/>
    <mergeCell ref="B22:C22"/>
    <mergeCell ref="B17:C17"/>
    <mergeCell ref="K4:M4"/>
    <mergeCell ref="AH6:AR6"/>
    <mergeCell ref="BF4:BI6"/>
    <mergeCell ref="AL47:AR47"/>
    <mergeCell ref="AL44:AM44"/>
    <mergeCell ref="AL45:AM45"/>
    <mergeCell ref="AL46:AM46"/>
    <mergeCell ref="AL39:AM39"/>
    <mergeCell ref="AL40:AM40"/>
    <mergeCell ref="AL41:AM41"/>
    <mergeCell ref="AL42:AM42"/>
    <mergeCell ref="AL43:AM43"/>
    <mergeCell ref="AL34:AM34"/>
    <mergeCell ref="AL35:AM35"/>
    <mergeCell ref="AL36:AM36"/>
    <mergeCell ref="AL37:AM37"/>
    <mergeCell ref="AL38:AM38"/>
    <mergeCell ref="AL29:AM29"/>
    <mergeCell ref="AL30:AM30"/>
    <mergeCell ref="AL31:AM31"/>
    <mergeCell ref="AL32:AM32"/>
    <mergeCell ref="AL33:AM33"/>
    <mergeCell ref="AL18:AM18"/>
    <mergeCell ref="AL19:AM19"/>
    <mergeCell ref="AL20:AM20"/>
    <mergeCell ref="AL21:AM21"/>
    <mergeCell ref="AJ29:AK29"/>
    <mergeCell ref="AJ30:AK30"/>
    <mergeCell ref="AJ31:AK31"/>
    <mergeCell ref="AJ32:AK32"/>
    <mergeCell ref="AJ33:AK33"/>
    <mergeCell ref="AJ18:AK18"/>
    <mergeCell ref="AJ19:AK19"/>
    <mergeCell ref="AJ20:AK20"/>
    <mergeCell ref="AJ21:AK21"/>
    <mergeCell ref="AJ22:AK22"/>
    <mergeCell ref="AJ44:AK44"/>
    <mergeCell ref="AJ45:AK45"/>
    <mergeCell ref="AJ46:AK46"/>
    <mergeCell ref="AJ39:AK39"/>
    <mergeCell ref="AJ40:AK40"/>
    <mergeCell ref="AJ41:AK41"/>
    <mergeCell ref="AJ42:AK42"/>
    <mergeCell ref="AJ43:AK43"/>
    <mergeCell ref="AJ34:AK34"/>
    <mergeCell ref="AJ35:AK35"/>
    <mergeCell ref="AJ36:AK36"/>
    <mergeCell ref="AJ37:AK37"/>
    <mergeCell ref="AJ38:AK38"/>
  </mergeCells>
  <dataValidations count="1">
    <dataValidation type="list" allowBlank="1" showInputMessage="1" showErrorMessage="1" sqref="AL47:AR47" xr:uid="{91B19D9C-91E7-4F33-996C-17449059225A}">
      <formula1>"JA/NEE,JA,NEE"</formula1>
    </dataValidation>
  </dataValidations>
  <hyperlinks>
    <hyperlink ref="BF4:BI6" location="Wedstrijden!A1" display="Wedstrijdschema" xr:uid="{CEA92F6D-2FAF-4022-BCC8-2045B3B0A1AF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/>
  <dimension ref="A1:IV52"/>
  <sheetViews>
    <sheetView workbookViewId="0">
      <selection activeCell="BF4" sqref="BF4:BI6"/>
    </sheetView>
  </sheetViews>
  <sheetFormatPr defaultRowHeight="13.8" x14ac:dyDescent="0.3"/>
  <cols>
    <col min="1" max="6" width="2.33203125" style="38" customWidth="1"/>
    <col min="7" max="7" width="3.33203125" style="38" customWidth="1"/>
    <col min="8" max="8" width="2.33203125" style="38" customWidth="1"/>
    <col min="9" max="9" width="3.33203125" style="38" customWidth="1"/>
    <col min="10" max="25" width="2.33203125" style="38" customWidth="1"/>
    <col min="26" max="28" width="2.109375" style="38" customWidth="1"/>
    <col min="29" max="29" width="3" style="38" customWidth="1"/>
    <col min="30" max="30" width="2.109375" style="39" customWidth="1"/>
    <col min="31" max="35" width="2.33203125" style="40" customWidth="1"/>
    <col min="36" max="39" width="2.33203125" style="38" customWidth="1"/>
    <col min="40" max="40" width="2.109375" style="38" customWidth="1"/>
    <col min="41" max="41" width="3.33203125" style="40" customWidth="1"/>
    <col min="42" max="43" width="2.109375" style="38" customWidth="1"/>
    <col min="44" max="44" width="3.33203125" style="40" customWidth="1"/>
    <col min="45" max="45" width="9.109375" style="38"/>
    <col min="46" max="56" width="9.109375" style="38" hidden="1" customWidth="1"/>
    <col min="57" max="62" width="9.109375" style="38"/>
    <col min="63" max="69" width="0" style="38" hidden="1" customWidth="1"/>
    <col min="70" max="256" width="9.109375" style="38"/>
    <col min="257" max="281" width="2.33203125" style="38" customWidth="1"/>
    <col min="282" max="286" width="2.109375" style="38" customWidth="1"/>
    <col min="287" max="295" width="2.33203125" style="38" customWidth="1"/>
    <col min="296" max="300" width="2.109375" style="38" customWidth="1"/>
    <col min="301" max="512" width="9.109375" style="38"/>
    <col min="513" max="537" width="2.33203125" style="38" customWidth="1"/>
    <col min="538" max="542" width="2.109375" style="38" customWidth="1"/>
    <col min="543" max="551" width="2.33203125" style="38" customWidth="1"/>
    <col min="552" max="556" width="2.109375" style="38" customWidth="1"/>
    <col min="557" max="768" width="9.109375" style="38"/>
    <col min="769" max="793" width="2.33203125" style="38" customWidth="1"/>
    <col min="794" max="798" width="2.109375" style="38" customWidth="1"/>
    <col min="799" max="807" width="2.33203125" style="38" customWidth="1"/>
    <col min="808" max="812" width="2.109375" style="38" customWidth="1"/>
    <col min="813" max="1024" width="9.109375" style="38"/>
    <col min="1025" max="1049" width="2.33203125" style="38" customWidth="1"/>
    <col min="1050" max="1054" width="2.109375" style="38" customWidth="1"/>
    <col min="1055" max="1063" width="2.33203125" style="38" customWidth="1"/>
    <col min="1064" max="1068" width="2.109375" style="38" customWidth="1"/>
    <col min="1069" max="1280" width="9.109375" style="38"/>
    <col min="1281" max="1305" width="2.33203125" style="38" customWidth="1"/>
    <col min="1306" max="1310" width="2.109375" style="38" customWidth="1"/>
    <col min="1311" max="1319" width="2.33203125" style="38" customWidth="1"/>
    <col min="1320" max="1324" width="2.109375" style="38" customWidth="1"/>
    <col min="1325" max="1536" width="9.109375" style="38"/>
    <col min="1537" max="1561" width="2.33203125" style="38" customWidth="1"/>
    <col min="1562" max="1566" width="2.109375" style="38" customWidth="1"/>
    <col min="1567" max="1575" width="2.33203125" style="38" customWidth="1"/>
    <col min="1576" max="1580" width="2.109375" style="38" customWidth="1"/>
    <col min="1581" max="1792" width="9.109375" style="38"/>
    <col min="1793" max="1817" width="2.33203125" style="38" customWidth="1"/>
    <col min="1818" max="1822" width="2.109375" style="38" customWidth="1"/>
    <col min="1823" max="1831" width="2.33203125" style="38" customWidth="1"/>
    <col min="1832" max="1836" width="2.109375" style="38" customWidth="1"/>
    <col min="1837" max="2048" width="9.109375" style="38"/>
    <col min="2049" max="2073" width="2.33203125" style="38" customWidth="1"/>
    <col min="2074" max="2078" width="2.109375" style="38" customWidth="1"/>
    <col min="2079" max="2087" width="2.33203125" style="38" customWidth="1"/>
    <col min="2088" max="2092" width="2.109375" style="38" customWidth="1"/>
    <col min="2093" max="2304" width="9.109375" style="38"/>
    <col min="2305" max="2329" width="2.33203125" style="38" customWidth="1"/>
    <col min="2330" max="2334" width="2.109375" style="38" customWidth="1"/>
    <col min="2335" max="2343" width="2.33203125" style="38" customWidth="1"/>
    <col min="2344" max="2348" width="2.109375" style="38" customWidth="1"/>
    <col min="2349" max="2560" width="9.109375" style="38"/>
    <col min="2561" max="2585" width="2.33203125" style="38" customWidth="1"/>
    <col min="2586" max="2590" width="2.109375" style="38" customWidth="1"/>
    <col min="2591" max="2599" width="2.33203125" style="38" customWidth="1"/>
    <col min="2600" max="2604" width="2.109375" style="38" customWidth="1"/>
    <col min="2605" max="2816" width="9.109375" style="38"/>
    <col min="2817" max="2841" width="2.33203125" style="38" customWidth="1"/>
    <col min="2842" max="2846" width="2.109375" style="38" customWidth="1"/>
    <col min="2847" max="2855" width="2.33203125" style="38" customWidth="1"/>
    <col min="2856" max="2860" width="2.109375" style="38" customWidth="1"/>
    <col min="2861" max="3072" width="9.109375" style="38"/>
    <col min="3073" max="3097" width="2.33203125" style="38" customWidth="1"/>
    <col min="3098" max="3102" width="2.109375" style="38" customWidth="1"/>
    <col min="3103" max="3111" width="2.33203125" style="38" customWidth="1"/>
    <col min="3112" max="3116" width="2.109375" style="38" customWidth="1"/>
    <col min="3117" max="3328" width="9.109375" style="38"/>
    <col min="3329" max="3353" width="2.33203125" style="38" customWidth="1"/>
    <col min="3354" max="3358" width="2.109375" style="38" customWidth="1"/>
    <col min="3359" max="3367" width="2.33203125" style="38" customWidth="1"/>
    <col min="3368" max="3372" width="2.109375" style="38" customWidth="1"/>
    <col min="3373" max="3584" width="9.109375" style="38"/>
    <col min="3585" max="3609" width="2.33203125" style="38" customWidth="1"/>
    <col min="3610" max="3614" width="2.109375" style="38" customWidth="1"/>
    <col min="3615" max="3623" width="2.33203125" style="38" customWidth="1"/>
    <col min="3624" max="3628" width="2.109375" style="38" customWidth="1"/>
    <col min="3629" max="3840" width="9.109375" style="38"/>
    <col min="3841" max="3865" width="2.33203125" style="38" customWidth="1"/>
    <col min="3866" max="3870" width="2.109375" style="38" customWidth="1"/>
    <col min="3871" max="3879" width="2.33203125" style="38" customWidth="1"/>
    <col min="3880" max="3884" width="2.109375" style="38" customWidth="1"/>
    <col min="3885" max="4096" width="9.109375" style="38"/>
    <col min="4097" max="4121" width="2.33203125" style="38" customWidth="1"/>
    <col min="4122" max="4126" width="2.109375" style="38" customWidth="1"/>
    <col min="4127" max="4135" width="2.33203125" style="38" customWidth="1"/>
    <col min="4136" max="4140" width="2.109375" style="38" customWidth="1"/>
    <col min="4141" max="4352" width="9.109375" style="38"/>
    <col min="4353" max="4377" width="2.33203125" style="38" customWidth="1"/>
    <col min="4378" max="4382" width="2.109375" style="38" customWidth="1"/>
    <col min="4383" max="4391" width="2.33203125" style="38" customWidth="1"/>
    <col min="4392" max="4396" width="2.109375" style="38" customWidth="1"/>
    <col min="4397" max="4608" width="9.109375" style="38"/>
    <col min="4609" max="4633" width="2.33203125" style="38" customWidth="1"/>
    <col min="4634" max="4638" width="2.109375" style="38" customWidth="1"/>
    <col min="4639" max="4647" width="2.33203125" style="38" customWidth="1"/>
    <col min="4648" max="4652" width="2.109375" style="38" customWidth="1"/>
    <col min="4653" max="4864" width="9.109375" style="38"/>
    <col min="4865" max="4889" width="2.33203125" style="38" customWidth="1"/>
    <col min="4890" max="4894" width="2.109375" style="38" customWidth="1"/>
    <col min="4895" max="4903" width="2.33203125" style="38" customWidth="1"/>
    <col min="4904" max="4908" width="2.109375" style="38" customWidth="1"/>
    <col min="4909" max="5120" width="9.109375" style="38"/>
    <col min="5121" max="5145" width="2.33203125" style="38" customWidth="1"/>
    <col min="5146" max="5150" width="2.109375" style="38" customWidth="1"/>
    <col min="5151" max="5159" width="2.33203125" style="38" customWidth="1"/>
    <col min="5160" max="5164" width="2.109375" style="38" customWidth="1"/>
    <col min="5165" max="5376" width="9.109375" style="38"/>
    <col min="5377" max="5401" width="2.33203125" style="38" customWidth="1"/>
    <col min="5402" max="5406" width="2.109375" style="38" customWidth="1"/>
    <col min="5407" max="5415" width="2.33203125" style="38" customWidth="1"/>
    <col min="5416" max="5420" width="2.109375" style="38" customWidth="1"/>
    <col min="5421" max="5632" width="9.109375" style="38"/>
    <col min="5633" max="5657" width="2.33203125" style="38" customWidth="1"/>
    <col min="5658" max="5662" width="2.109375" style="38" customWidth="1"/>
    <col min="5663" max="5671" width="2.33203125" style="38" customWidth="1"/>
    <col min="5672" max="5676" width="2.109375" style="38" customWidth="1"/>
    <col min="5677" max="5888" width="9.109375" style="38"/>
    <col min="5889" max="5913" width="2.33203125" style="38" customWidth="1"/>
    <col min="5914" max="5918" width="2.109375" style="38" customWidth="1"/>
    <col min="5919" max="5927" width="2.33203125" style="38" customWidth="1"/>
    <col min="5928" max="5932" width="2.109375" style="38" customWidth="1"/>
    <col min="5933" max="6144" width="9.109375" style="38"/>
    <col min="6145" max="6169" width="2.33203125" style="38" customWidth="1"/>
    <col min="6170" max="6174" width="2.109375" style="38" customWidth="1"/>
    <col min="6175" max="6183" width="2.33203125" style="38" customWidth="1"/>
    <col min="6184" max="6188" width="2.109375" style="38" customWidth="1"/>
    <col min="6189" max="6400" width="9.109375" style="38"/>
    <col min="6401" max="6425" width="2.33203125" style="38" customWidth="1"/>
    <col min="6426" max="6430" width="2.109375" style="38" customWidth="1"/>
    <col min="6431" max="6439" width="2.33203125" style="38" customWidth="1"/>
    <col min="6440" max="6444" width="2.109375" style="38" customWidth="1"/>
    <col min="6445" max="6656" width="9.109375" style="38"/>
    <col min="6657" max="6681" width="2.33203125" style="38" customWidth="1"/>
    <col min="6682" max="6686" width="2.109375" style="38" customWidth="1"/>
    <col min="6687" max="6695" width="2.33203125" style="38" customWidth="1"/>
    <col min="6696" max="6700" width="2.109375" style="38" customWidth="1"/>
    <col min="6701" max="6912" width="9.109375" style="38"/>
    <col min="6913" max="6937" width="2.33203125" style="38" customWidth="1"/>
    <col min="6938" max="6942" width="2.109375" style="38" customWidth="1"/>
    <col min="6943" max="6951" width="2.33203125" style="38" customWidth="1"/>
    <col min="6952" max="6956" width="2.109375" style="38" customWidth="1"/>
    <col min="6957" max="7168" width="9.109375" style="38"/>
    <col min="7169" max="7193" width="2.33203125" style="38" customWidth="1"/>
    <col min="7194" max="7198" width="2.109375" style="38" customWidth="1"/>
    <col min="7199" max="7207" width="2.33203125" style="38" customWidth="1"/>
    <col min="7208" max="7212" width="2.109375" style="38" customWidth="1"/>
    <col min="7213" max="7424" width="9.109375" style="38"/>
    <col min="7425" max="7449" width="2.33203125" style="38" customWidth="1"/>
    <col min="7450" max="7454" width="2.109375" style="38" customWidth="1"/>
    <col min="7455" max="7463" width="2.33203125" style="38" customWidth="1"/>
    <col min="7464" max="7468" width="2.109375" style="38" customWidth="1"/>
    <col min="7469" max="7680" width="9.109375" style="38"/>
    <col min="7681" max="7705" width="2.33203125" style="38" customWidth="1"/>
    <col min="7706" max="7710" width="2.109375" style="38" customWidth="1"/>
    <col min="7711" max="7719" width="2.33203125" style="38" customWidth="1"/>
    <col min="7720" max="7724" width="2.109375" style="38" customWidth="1"/>
    <col min="7725" max="7936" width="9.109375" style="38"/>
    <col min="7937" max="7961" width="2.33203125" style="38" customWidth="1"/>
    <col min="7962" max="7966" width="2.109375" style="38" customWidth="1"/>
    <col min="7967" max="7975" width="2.33203125" style="38" customWidth="1"/>
    <col min="7976" max="7980" width="2.109375" style="38" customWidth="1"/>
    <col min="7981" max="8192" width="9.109375" style="38"/>
    <col min="8193" max="8217" width="2.33203125" style="38" customWidth="1"/>
    <col min="8218" max="8222" width="2.109375" style="38" customWidth="1"/>
    <col min="8223" max="8231" width="2.33203125" style="38" customWidth="1"/>
    <col min="8232" max="8236" width="2.109375" style="38" customWidth="1"/>
    <col min="8237" max="8448" width="9.109375" style="38"/>
    <col min="8449" max="8473" width="2.33203125" style="38" customWidth="1"/>
    <col min="8474" max="8478" width="2.109375" style="38" customWidth="1"/>
    <col min="8479" max="8487" width="2.33203125" style="38" customWidth="1"/>
    <col min="8488" max="8492" width="2.109375" style="38" customWidth="1"/>
    <col min="8493" max="8704" width="9.109375" style="38"/>
    <col min="8705" max="8729" width="2.33203125" style="38" customWidth="1"/>
    <col min="8730" max="8734" width="2.109375" style="38" customWidth="1"/>
    <col min="8735" max="8743" width="2.33203125" style="38" customWidth="1"/>
    <col min="8744" max="8748" width="2.109375" style="38" customWidth="1"/>
    <col min="8749" max="8960" width="9.109375" style="38"/>
    <col min="8961" max="8985" width="2.33203125" style="38" customWidth="1"/>
    <col min="8986" max="8990" width="2.109375" style="38" customWidth="1"/>
    <col min="8991" max="8999" width="2.33203125" style="38" customWidth="1"/>
    <col min="9000" max="9004" width="2.109375" style="38" customWidth="1"/>
    <col min="9005" max="9216" width="9.109375" style="38"/>
    <col min="9217" max="9241" width="2.33203125" style="38" customWidth="1"/>
    <col min="9242" max="9246" width="2.109375" style="38" customWidth="1"/>
    <col min="9247" max="9255" width="2.33203125" style="38" customWidth="1"/>
    <col min="9256" max="9260" width="2.109375" style="38" customWidth="1"/>
    <col min="9261" max="9472" width="9.109375" style="38"/>
    <col min="9473" max="9497" width="2.33203125" style="38" customWidth="1"/>
    <col min="9498" max="9502" width="2.109375" style="38" customWidth="1"/>
    <col min="9503" max="9511" width="2.33203125" style="38" customWidth="1"/>
    <col min="9512" max="9516" width="2.109375" style="38" customWidth="1"/>
    <col min="9517" max="9728" width="9.109375" style="38"/>
    <col min="9729" max="9753" width="2.33203125" style="38" customWidth="1"/>
    <col min="9754" max="9758" width="2.109375" style="38" customWidth="1"/>
    <col min="9759" max="9767" width="2.33203125" style="38" customWidth="1"/>
    <col min="9768" max="9772" width="2.109375" style="38" customWidth="1"/>
    <col min="9773" max="9984" width="9.109375" style="38"/>
    <col min="9985" max="10009" width="2.33203125" style="38" customWidth="1"/>
    <col min="10010" max="10014" width="2.109375" style="38" customWidth="1"/>
    <col min="10015" max="10023" width="2.33203125" style="38" customWidth="1"/>
    <col min="10024" max="10028" width="2.109375" style="38" customWidth="1"/>
    <col min="10029" max="10240" width="9.109375" style="38"/>
    <col min="10241" max="10265" width="2.33203125" style="38" customWidth="1"/>
    <col min="10266" max="10270" width="2.109375" style="38" customWidth="1"/>
    <col min="10271" max="10279" width="2.33203125" style="38" customWidth="1"/>
    <col min="10280" max="10284" width="2.109375" style="38" customWidth="1"/>
    <col min="10285" max="10496" width="9.109375" style="38"/>
    <col min="10497" max="10521" width="2.33203125" style="38" customWidth="1"/>
    <col min="10522" max="10526" width="2.109375" style="38" customWidth="1"/>
    <col min="10527" max="10535" width="2.33203125" style="38" customWidth="1"/>
    <col min="10536" max="10540" width="2.109375" style="38" customWidth="1"/>
    <col min="10541" max="10752" width="9.109375" style="38"/>
    <col min="10753" max="10777" width="2.33203125" style="38" customWidth="1"/>
    <col min="10778" max="10782" width="2.109375" style="38" customWidth="1"/>
    <col min="10783" max="10791" width="2.33203125" style="38" customWidth="1"/>
    <col min="10792" max="10796" width="2.109375" style="38" customWidth="1"/>
    <col min="10797" max="11008" width="9.109375" style="38"/>
    <col min="11009" max="11033" width="2.33203125" style="38" customWidth="1"/>
    <col min="11034" max="11038" width="2.109375" style="38" customWidth="1"/>
    <col min="11039" max="11047" width="2.33203125" style="38" customWidth="1"/>
    <col min="11048" max="11052" width="2.109375" style="38" customWidth="1"/>
    <col min="11053" max="11264" width="9.109375" style="38"/>
    <col min="11265" max="11289" width="2.33203125" style="38" customWidth="1"/>
    <col min="11290" max="11294" width="2.109375" style="38" customWidth="1"/>
    <col min="11295" max="11303" width="2.33203125" style="38" customWidth="1"/>
    <col min="11304" max="11308" width="2.109375" style="38" customWidth="1"/>
    <col min="11309" max="11520" width="9.109375" style="38"/>
    <col min="11521" max="11545" width="2.33203125" style="38" customWidth="1"/>
    <col min="11546" max="11550" width="2.109375" style="38" customWidth="1"/>
    <col min="11551" max="11559" width="2.33203125" style="38" customWidth="1"/>
    <col min="11560" max="11564" width="2.109375" style="38" customWidth="1"/>
    <col min="11565" max="11776" width="9.109375" style="38"/>
    <col min="11777" max="11801" width="2.33203125" style="38" customWidth="1"/>
    <col min="11802" max="11806" width="2.109375" style="38" customWidth="1"/>
    <col min="11807" max="11815" width="2.33203125" style="38" customWidth="1"/>
    <col min="11816" max="11820" width="2.109375" style="38" customWidth="1"/>
    <col min="11821" max="12032" width="9.109375" style="38"/>
    <col min="12033" max="12057" width="2.33203125" style="38" customWidth="1"/>
    <col min="12058" max="12062" width="2.109375" style="38" customWidth="1"/>
    <col min="12063" max="12071" width="2.33203125" style="38" customWidth="1"/>
    <col min="12072" max="12076" width="2.109375" style="38" customWidth="1"/>
    <col min="12077" max="12288" width="9.109375" style="38"/>
    <col min="12289" max="12313" width="2.33203125" style="38" customWidth="1"/>
    <col min="12314" max="12318" width="2.109375" style="38" customWidth="1"/>
    <col min="12319" max="12327" width="2.33203125" style="38" customWidth="1"/>
    <col min="12328" max="12332" width="2.109375" style="38" customWidth="1"/>
    <col min="12333" max="12544" width="9.109375" style="38"/>
    <col min="12545" max="12569" width="2.33203125" style="38" customWidth="1"/>
    <col min="12570" max="12574" width="2.109375" style="38" customWidth="1"/>
    <col min="12575" max="12583" width="2.33203125" style="38" customWidth="1"/>
    <col min="12584" max="12588" width="2.109375" style="38" customWidth="1"/>
    <col min="12589" max="12800" width="9.109375" style="38"/>
    <col min="12801" max="12825" width="2.33203125" style="38" customWidth="1"/>
    <col min="12826" max="12830" width="2.109375" style="38" customWidth="1"/>
    <col min="12831" max="12839" width="2.33203125" style="38" customWidth="1"/>
    <col min="12840" max="12844" width="2.109375" style="38" customWidth="1"/>
    <col min="12845" max="13056" width="9.109375" style="38"/>
    <col min="13057" max="13081" width="2.33203125" style="38" customWidth="1"/>
    <col min="13082" max="13086" width="2.109375" style="38" customWidth="1"/>
    <col min="13087" max="13095" width="2.33203125" style="38" customWidth="1"/>
    <col min="13096" max="13100" width="2.109375" style="38" customWidth="1"/>
    <col min="13101" max="13312" width="9.109375" style="38"/>
    <col min="13313" max="13337" width="2.33203125" style="38" customWidth="1"/>
    <col min="13338" max="13342" width="2.109375" style="38" customWidth="1"/>
    <col min="13343" max="13351" width="2.33203125" style="38" customWidth="1"/>
    <col min="13352" max="13356" width="2.109375" style="38" customWidth="1"/>
    <col min="13357" max="13568" width="9.109375" style="38"/>
    <col min="13569" max="13593" width="2.33203125" style="38" customWidth="1"/>
    <col min="13594" max="13598" width="2.109375" style="38" customWidth="1"/>
    <col min="13599" max="13607" width="2.33203125" style="38" customWidth="1"/>
    <col min="13608" max="13612" width="2.109375" style="38" customWidth="1"/>
    <col min="13613" max="13824" width="9.109375" style="38"/>
    <col min="13825" max="13849" width="2.33203125" style="38" customWidth="1"/>
    <col min="13850" max="13854" width="2.109375" style="38" customWidth="1"/>
    <col min="13855" max="13863" width="2.33203125" style="38" customWidth="1"/>
    <col min="13864" max="13868" width="2.109375" style="38" customWidth="1"/>
    <col min="13869" max="14080" width="9.109375" style="38"/>
    <col min="14081" max="14105" width="2.33203125" style="38" customWidth="1"/>
    <col min="14106" max="14110" width="2.109375" style="38" customWidth="1"/>
    <col min="14111" max="14119" width="2.33203125" style="38" customWidth="1"/>
    <col min="14120" max="14124" width="2.109375" style="38" customWidth="1"/>
    <col min="14125" max="14336" width="9.109375" style="38"/>
    <col min="14337" max="14361" width="2.33203125" style="38" customWidth="1"/>
    <col min="14362" max="14366" width="2.109375" style="38" customWidth="1"/>
    <col min="14367" max="14375" width="2.33203125" style="38" customWidth="1"/>
    <col min="14376" max="14380" width="2.109375" style="38" customWidth="1"/>
    <col min="14381" max="14592" width="9.109375" style="38"/>
    <col min="14593" max="14617" width="2.33203125" style="38" customWidth="1"/>
    <col min="14618" max="14622" width="2.109375" style="38" customWidth="1"/>
    <col min="14623" max="14631" width="2.33203125" style="38" customWidth="1"/>
    <col min="14632" max="14636" width="2.109375" style="38" customWidth="1"/>
    <col min="14637" max="14848" width="9.109375" style="38"/>
    <col min="14849" max="14873" width="2.33203125" style="38" customWidth="1"/>
    <col min="14874" max="14878" width="2.109375" style="38" customWidth="1"/>
    <col min="14879" max="14887" width="2.33203125" style="38" customWidth="1"/>
    <col min="14888" max="14892" width="2.109375" style="38" customWidth="1"/>
    <col min="14893" max="15104" width="9.109375" style="38"/>
    <col min="15105" max="15129" width="2.33203125" style="38" customWidth="1"/>
    <col min="15130" max="15134" width="2.109375" style="38" customWidth="1"/>
    <col min="15135" max="15143" width="2.33203125" style="38" customWidth="1"/>
    <col min="15144" max="15148" width="2.109375" style="38" customWidth="1"/>
    <col min="15149" max="15360" width="9.109375" style="38"/>
    <col min="15361" max="15385" width="2.33203125" style="38" customWidth="1"/>
    <col min="15386" max="15390" width="2.109375" style="38" customWidth="1"/>
    <col min="15391" max="15399" width="2.33203125" style="38" customWidth="1"/>
    <col min="15400" max="15404" width="2.109375" style="38" customWidth="1"/>
    <col min="15405" max="15616" width="9.109375" style="38"/>
    <col min="15617" max="15641" width="2.33203125" style="38" customWidth="1"/>
    <col min="15642" max="15646" width="2.109375" style="38" customWidth="1"/>
    <col min="15647" max="15655" width="2.33203125" style="38" customWidth="1"/>
    <col min="15656" max="15660" width="2.109375" style="38" customWidth="1"/>
    <col min="15661" max="15872" width="9.109375" style="38"/>
    <col min="15873" max="15897" width="2.33203125" style="38" customWidth="1"/>
    <col min="15898" max="15902" width="2.109375" style="38" customWidth="1"/>
    <col min="15903" max="15911" width="2.33203125" style="38" customWidth="1"/>
    <col min="15912" max="15916" width="2.109375" style="38" customWidth="1"/>
    <col min="15917" max="16128" width="9.109375" style="38"/>
    <col min="16129" max="16153" width="2.33203125" style="38" customWidth="1"/>
    <col min="16154" max="16158" width="2.109375" style="38" customWidth="1"/>
    <col min="16159" max="16167" width="2.33203125" style="38" customWidth="1"/>
    <col min="16168" max="16172" width="2.109375" style="38" customWidth="1"/>
    <col min="16173" max="16384" width="9.109375" style="38"/>
  </cols>
  <sheetData>
    <row r="1" spans="1:256" ht="20.399999999999999" x14ac:dyDescent="0.3">
      <c r="A1" s="37" t="s">
        <v>40</v>
      </c>
      <c r="AO1" s="41">
        <v>0</v>
      </c>
      <c r="AP1" s="42"/>
      <c r="AQ1" s="42"/>
      <c r="AR1" s="41">
        <v>0</v>
      </c>
      <c r="AV1" s="43">
        <v>1.3888888888888888E-2</v>
      </c>
    </row>
    <row r="2" spans="1:256" x14ac:dyDescent="0.3">
      <c r="A2" s="38" t="s">
        <v>42</v>
      </c>
      <c r="E2" s="38" t="s">
        <v>76</v>
      </c>
      <c r="P2" s="44" t="s">
        <v>22</v>
      </c>
      <c r="Q2" s="45"/>
      <c r="R2" s="45"/>
      <c r="S2" s="45"/>
      <c r="T2" s="45"/>
      <c r="U2" s="45"/>
      <c r="V2" s="45"/>
      <c r="W2" s="45" t="s">
        <v>3</v>
      </c>
      <c r="X2" s="45"/>
      <c r="Y2" s="46" t="s">
        <v>41</v>
      </c>
      <c r="Z2" s="45"/>
      <c r="AA2" s="45"/>
      <c r="AB2" s="45"/>
      <c r="AC2" s="45"/>
      <c r="AD2" s="47"/>
      <c r="AE2" s="48"/>
      <c r="AF2" s="48"/>
      <c r="AG2" s="49"/>
    </row>
    <row r="3" spans="1:256" ht="15" thickBot="1" x14ac:dyDescent="0.35">
      <c r="A3" s="38" t="s">
        <v>19</v>
      </c>
      <c r="D3" s="415">
        <f>Wedstrijden!I2</f>
        <v>45732</v>
      </c>
      <c r="E3" s="416"/>
      <c r="F3" s="416"/>
      <c r="G3" s="416"/>
      <c r="H3" s="416"/>
      <c r="I3" s="416"/>
      <c r="J3" s="416"/>
      <c r="K3" s="416"/>
      <c r="L3" s="416"/>
      <c r="M3" s="416"/>
      <c r="N3" s="417"/>
      <c r="P3" s="50" t="s">
        <v>18</v>
      </c>
      <c r="Q3" s="51" t="s">
        <v>43</v>
      </c>
      <c r="W3" s="38" t="s">
        <v>0</v>
      </c>
      <c r="Y3" s="51" t="s">
        <v>44</v>
      </c>
      <c r="AG3" s="52"/>
    </row>
    <row r="4" spans="1:256" x14ac:dyDescent="0.3">
      <c r="A4" s="38" t="s">
        <v>20</v>
      </c>
      <c r="D4" s="418">
        <v>9</v>
      </c>
      <c r="E4" s="418"/>
      <c r="F4" s="53"/>
      <c r="G4" s="419">
        <f>VLOOKUP(D4,Wedstrijden!A6:B57,2,0)</f>
        <v>0.60416666666666663</v>
      </c>
      <c r="H4" s="419"/>
      <c r="I4" s="419"/>
      <c r="J4" s="54" t="s">
        <v>16</v>
      </c>
      <c r="K4" s="419">
        <f>G4+AV1</f>
        <v>0.61805555555555547</v>
      </c>
      <c r="L4" s="419"/>
      <c r="M4" s="419"/>
      <c r="N4" s="53"/>
      <c r="P4" s="50" t="s">
        <v>17</v>
      </c>
      <c r="Q4" s="51" t="s">
        <v>45</v>
      </c>
      <c r="W4" s="38" t="s">
        <v>9</v>
      </c>
      <c r="Y4" s="51" t="s">
        <v>46</v>
      </c>
      <c r="AG4" s="52"/>
      <c r="BF4" s="406" t="s">
        <v>102</v>
      </c>
      <c r="BG4" s="407"/>
      <c r="BH4" s="407"/>
      <c r="BI4" s="408"/>
    </row>
    <row r="5" spans="1:256" x14ac:dyDescent="0.3">
      <c r="A5" s="38" t="s">
        <v>164</v>
      </c>
      <c r="D5" s="260" t="str">
        <f>VLOOKUP(D4,Wedstrijden!A6:D20,4,0)</f>
        <v>A</v>
      </c>
      <c r="P5" s="50" t="s">
        <v>10</v>
      </c>
      <c r="Q5" s="51" t="s">
        <v>47</v>
      </c>
      <c r="W5" s="38" t="s">
        <v>12</v>
      </c>
      <c r="Y5" s="51" t="s">
        <v>48</v>
      </c>
      <c r="AG5" s="52"/>
      <c r="BF5" s="409"/>
      <c r="BG5" s="410"/>
      <c r="BH5" s="410"/>
      <c r="BI5" s="411"/>
    </row>
    <row r="6" spans="1:256" ht="14.4" thickBot="1" x14ac:dyDescent="0.2">
      <c r="A6" s="38" t="s">
        <v>21</v>
      </c>
      <c r="D6" s="55" t="str">
        <f>Wedstrijden!K2</f>
        <v>Den Bosch</v>
      </c>
      <c r="P6" s="50" t="s">
        <v>11</v>
      </c>
      <c r="Q6" s="51" t="s">
        <v>49</v>
      </c>
      <c r="W6" s="38" t="s">
        <v>13</v>
      </c>
      <c r="Y6" s="51" t="s">
        <v>50</v>
      </c>
      <c r="AG6" s="52"/>
      <c r="AH6" s="354" t="s">
        <v>51</v>
      </c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BF6" s="412"/>
      <c r="BG6" s="413"/>
      <c r="BH6" s="413"/>
      <c r="BI6" s="414"/>
    </row>
    <row r="7" spans="1:256" x14ac:dyDescent="0.2">
      <c r="A7" s="56" t="s">
        <v>52</v>
      </c>
      <c r="B7" s="57"/>
      <c r="C7" s="57"/>
      <c r="D7" s="57"/>
      <c r="E7" s="58" t="s">
        <v>53</v>
      </c>
      <c r="F7" s="57"/>
      <c r="G7" s="59" t="str">
        <f>VLOOKUP(D4,Wedstrijden!A6:L57,5,0)</f>
        <v>RZ Roermond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 t="s">
        <v>54</v>
      </c>
      <c r="X7" s="57"/>
      <c r="Y7" s="57"/>
      <c r="Z7" s="58" t="s">
        <v>55</v>
      </c>
      <c r="AA7" s="58"/>
      <c r="AB7" s="57"/>
      <c r="AC7" s="59" t="str">
        <f>VLOOKUP(D4,Wedstrijden!A6:L57,9,0)</f>
        <v>De Tubanten 2</v>
      </c>
      <c r="AD7" s="60"/>
      <c r="AE7" s="61"/>
      <c r="AF7" s="61"/>
      <c r="AG7" s="61"/>
      <c r="AH7" s="61"/>
      <c r="AI7" s="61"/>
      <c r="AJ7" s="57"/>
      <c r="AK7" s="57"/>
      <c r="AL7" s="57"/>
      <c r="AM7" s="57"/>
      <c r="AN7" s="57"/>
      <c r="AO7" s="61"/>
      <c r="AP7" s="57"/>
      <c r="AQ7" s="57"/>
      <c r="AR7" s="62"/>
    </row>
    <row r="8" spans="1:256" x14ac:dyDescent="0.3">
      <c r="A8" s="63" t="s">
        <v>56</v>
      </c>
      <c r="B8" s="64"/>
      <c r="C8" s="64"/>
      <c r="D8" s="64"/>
      <c r="E8" s="64"/>
      <c r="F8" s="64"/>
      <c r="G8" s="64"/>
      <c r="H8" s="64"/>
      <c r="I8" s="64"/>
      <c r="J8" s="65" t="str">
        <f>VLOOKUP(D4,Wedstrijden!A6:P343,13,0)</f>
        <v>Corne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 t="s">
        <v>57</v>
      </c>
      <c r="X8" s="64"/>
      <c r="Y8" s="64"/>
      <c r="Z8" s="66" t="str">
        <f>VLOOKUP(D4,Wedstrijden!A6:N170,14,0)</f>
        <v>Kevin</v>
      </c>
      <c r="AA8" s="64"/>
      <c r="AB8" s="64"/>
      <c r="AC8" s="64"/>
      <c r="AD8" s="67"/>
      <c r="AE8" s="68"/>
      <c r="AF8" s="68"/>
      <c r="AG8" s="68"/>
      <c r="AH8" s="68"/>
      <c r="AI8" s="68"/>
      <c r="AJ8" s="69" t="s">
        <v>17</v>
      </c>
      <c r="AK8" s="64"/>
      <c r="AL8" s="64"/>
      <c r="AM8" s="64"/>
      <c r="AN8" s="64"/>
      <c r="AO8" s="68"/>
      <c r="AP8" s="64"/>
      <c r="AQ8" s="64"/>
      <c r="AR8" s="70"/>
    </row>
    <row r="9" spans="1:256" ht="14.4" thickBot="1" x14ac:dyDescent="0.35">
      <c r="A9" s="71" t="s">
        <v>58</v>
      </c>
      <c r="B9" s="72"/>
      <c r="C9" s="72"/>
      <c r="D9" s="72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 t="s">
        <v>59</v>
      </c>
      <c r="X9" s="72"/>
      <c r="Y9" s="72"/>
      <c r="Z9" s="72"/>
      <c r="AA9" s="72"/>
      <c r="AB9" s="73"/>
      <c r="AC9" s="73"/>
      <c r="AD9" s="75"/>
      <c r="AE9" s="76"/>
      <c r="AF9" s="76"/>
      <c r="AG9" s="76"/>
      <c r="AH9" s="76"/>
      <c r="AI9" s="76"/>
      <c r="AJ9" s="73"/>
      <c r="AK9" s="73"/>
      <c r="AL9" s="73"/>
      <c r="AM9" s="73"/>
      <c r="AN9" s="73"/>
      <c r="AO9" s="76"/>
      <c r="AP9" s="73"/>
      <c r="AQ9" s="73"/>
      <c r="AR9" s="77"/>
    </row>
    <row r="10" spans="1:256" ht="15" x14ac:dyDescent="0.3">
      <c r="A10" s="78" t="s">
        <v>60</v>
      </c>
      <c r="B10" s="79"/>
      <c r="C10" s="79"/>
      <c r="D10" s="79"/>
      <c r="E10" s="79"/>
      <c r="F10" s="356" t="str">
        <f>+G7</f>
        <v>RZ Roermond</v>
      </c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7"/>
      <c r="Z10" s="362" t="s">
        <v>8</v>
      </c>
      <c r="AA10" s="363"/>
      <c r="AB10" s="363"/>
      <c r="AC10" s="363"/>
      <c r="AD10" s="364"/>
      <c r="AE10" s="80"/>
      <c r="AF10" s="80"/>
      <c r="AG10" s="80"/>
      <c r="AH10" s="80" t="s">
        <v>61</v>
      </c>
      <c r="AI10" s="80" t="s">
        <v>61</v>
      </c>
      <c r="AJ10" s="371" t="s">
        <v>14</v>
      </c>
      <c r="AK10" s="372"/>
      <c r="AL10" s="377" t="s">
        <v>62</v>
      </c>
      <c r="AM10" s="378"/>
      <c r="AN10" s="383" t="s">
        <v>15</v>
      </c>
      <c r="AO10" s="384"/>
      <c r="AP10" s="384"/>
      <c r="AQ10" s="384"/>
      <c r="AR10" s="385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2" t="s">
        <v>136</v>
      </c>
      <c r="BL10" s="82" t="str">
        <f>CONCATENATE($BL$12&amp;BK10&amp;"x")</f>
        <v>swwx</v>
      </c>
      <c r="BM10" s="82" t="str">
        <f>CONCATENATE($BM$12&amp;BK10&amp;"x")</f>
        <v>dwx</v>
      </c>
      <c r="BN10" s="82" t="str">
        <f>CONCATENATE($BN$12&amp;BK10&amp;"x")</f>
        <v>pwx</v>
      </c>
      <c r="BO10" s="82" t="str">
        <f>CONCATENATE($BO$12&amp;BK10&amp;"x")</f>
        <v>umvwx</v>
      </c>
      <c r="BP10" s="82" t="str">
        <f>CONCATENATE($BP$12&amp;BK10&amp;"x")</f>
        <v>uzvwx</v>
      </c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1" spans="1:256" x14ac:dyDescent="0.3">
      <c r="A11" s="393" t="s">
        <v>7</v>
      </c>
      <c r="B11" s="394"/>
      <c r="C11" s="394"/>
      <c r="D11" s="394"/>
      <c r="E11" s="81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  <c r="Z11" s="365"/>
      <c r="AA11" s="366"/>
      <c r="AB11" s="366"/>
      <c r="AC11" s="366"/>
      <c r="AD11" s="367"/>
      <c r="AE11" s="83" t="s">
        <v>63</v>
      </c>
      <c r="AF11" s="83"/>
      <c r="AG11" s="83"/>
      <c r="AH11" s="83" t="s">
        <v>64</v>
      </c>
      <c r="AI11" s="83" t="s">
        <v>65</v>
      </c>
      <c r="AJ11" s="373"/>
      <c r="AK11" s="374"/>
      <c r="AL11" s="379"/>
      <c r="AM11" s="380"/>
      <c r="AN11" s="386"/>
      <c r="AO11" s="387"/>
      <c r="AP11" s="387"/>
      <c r="AQ11" s="387"/>
      <c r="AR11" s="388"/>
      <c r="AS11" s="81"/>
      <c r="AT11" s="81"/>
      <c r="AU11" s="81" t="s">
        <v>17</v>
      </c>
      <c r="AV11" s="81" t="s">
        <v>18</v>
      </c>
      <c r="AW11" s="81" t="s">
        <v>77</v>
      </c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2" t="s">
        <v>142</v>
      </c>
      <c r="BL11" s="82" t="str">
        <f>CONCATENATE($BL$12&amp;BK11&amp;"x")</f>
        <v>swbx</v>
      </c>
      <c r="BM11" s="82" t="str">
        <f>CONCATENATE($BM$12&amp;BK11&amp;"x")</f>
        <v>dbx</v>
      </c>
      <c r="BN11" s="82" t="str">
        <f>CONCATENATE($BN$12&amp;BK11&amp;"x")</f>
        <v>pbx</v>
      </c>
      <c r="BO11" s="82" t="str">
        <f>CONCATENATE($BO$12&amp;BK11&amp;"x")</f>
        <v>umvbx</v>
      </c>
      <c r="BP11" s="82" t="str">
        <f>CONCATENATE($BP$12&amp;BK11&amp;"x")</f>
        <v>uzvbx</v>
      </c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</row>
    <row r="12" spans="1:256" ht="18" x14ac:dyDescent="0.35">
      <c r="A12" s="395"/>
      <c r="B12" s="396"/>
      <c r="C12" s="396"/>
      <c r="D12" s="394"/>
      <c r="E12" s="81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1"/>
      <c r="Z12" s="368"/>
      <c r="AA12" s="369"/>
      <c r="AB12" s="369"/>
      <c r="AC12" s="369"/>
      <c r="AD12" s="370"/>
      <c r="AE12" s="84" t="s">
        <v>17</v>
      </c>
      <c r="AF12" s="84" t="s">
        <v>10</v>
      </c>
      <c r="AG12" s="84" t="s">
        <v>11</v>
      </c>
      <c r="AH12" s="84" t="s">
        <v>66</v>
      </c>
      <c r="AI12" s="84" t="s">
        <v>66</v>
      </c>
      <c r="AJ12" s="375"/>
      <c r="AK12" s="376"/>
      <c r="AL12" s="381"/>
      <c r="AM12" s="382"/>
      <c r="AN12" s="389" t="s">
        <v>17</v>
      </c>
      <c r="AO12" s="369"/>
      <c r="AP12" s="85"/>
      <c r="AQ12" s="369" t="s">
        <v>18</v>
      </c>
      <c r="AR12" s="390"/>
      <c r="AS12" s="81"/>
      <c r="AT12" s="81"/>
      <c r="AU12" s="81" t="s">
        <v>78</v>
      </c>
      <c r="AV12" s="81" t="s">
        <v>79</v>
      </c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 t="s">
        <v>138</v>
      </c>
      <c r="BM12" s="81" t="s">
        <v>139</v>
      </c>
      <c r="BN12" s="81" t="s">
        <v>79</v>
      </c>
      <c r="BO12" s="81" t="s">
        <v>140</v>
      </c>
      <c r="BP12" s="81" t="s">
        <v>141</v>
      </c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</row>
    <row r="13" spans="1:256" ht="15.6" x14ac:dyDescent="0.3">
      <c r="A13" s="86" t="s">
        <v>0</v>
      </c>
      <c r="B13" s="87" t="s">
        <v>1</v>
      </c>
      <c r="C13" s="88"/>
      <c r="D13" s="89"/>
      <c r="E13" s="88" t="s">
        <v>2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90"/>
      <c r="V13" s="91" t="s">
        <v>3</v>
      </c>
      <c r="W13" s="91" t="s">
        <v>4</v>
      </c>
      <c r="X13" s="91" t="s">
        <v>5</v>
      </c>
      <c r="Y13" s="92" t="s">
        <v>6</v>
      </c>
      <c r="Z13" s="93"/>
      <c r="AA13" s="94">
        <v>1</v>
      </c>
      <c r="AB13" s="95" t="s">
        <v>16</v>
      </c>
      <c r="AC13" s="94">
        <v>5</v>
      </c>
      <c r="AD13" s="96">
        <v>4</v>
      </c>
      <c r="AE13" s="97"/>
      <c r="AF13" s="97"/>
      <c r="AG13" s="98" t="s">
        <v>265</v>
      </c>
      <c r="AH13" s="99"/>
      <c r="AI13" s="99"/>
      <c r="AJ13" s="391" t="s">
        <v>18</v>
      </c>
      <c r="AK13" s="392"/>
      <c r="AL13" s="401">
        <v>10</v>
      </c>
      <c r="AM13" s="402"/>
      <c r="AN13" s="100"/>
      <c r="AO13" s="101">
        <f>IF(BQ13="","",IF(BQ13=$BL$10,"2"+AO1,IF(BQ13=$BM$10,"1"+AO1,IF(BQ13=$BN$10,"0"+AO1,IF(BQ13=$BO$10,"0"+AO1,IF(BQ13=$BP$10,"0"+AO1,"0"+AO1))))))</f>
        <v>0</v>
      </c>
      <c r="AP13" s="95" t="s">
        <v>16</v>
      </c>
      <c r="AQ13" s="102"/>
      <c r="AR13" s="103">
        <f>IF(BQ13="","",IF(BQ13=$BL$11,"2"+AR1,IF(BQ13=$BM$11,"1"+AR1,IF(BQ13=$BN$11,"0"+AR1,IF(BQ13=$BO$11,"0"+AR1,IF(BQ13=$BP$11,"0"+AR1,"0"+AR1))))))</f>
        <v>1</v>
      </c>
      <c r="AY13" s="38" t="str">
        <f>CONCATENATE(AJ13&amp;AL13)</f>
        <v>B10</v>
      </c>
      <c r="AZ13" s="38" t="str">
        <f>IF(AE13=$AW$11,"2","0")</f>
        <v>0</v>
      </c>
      <c r="BA13" s="38" t="str">
        <f>IF(AG13=$AW$11,"1","0")</f>
        <v>1</v>
      </c>
      <c r="BB13" s="38" t="str">
        <f>IF(AF13=$AW$11,"1","0")</f>
        <v>0</v>
      </c>
      <c r="BC13" s="38">
        <f>AZ13+BA13</f>
        <v>1</v>
      </c>
      <c r="BD13" s="38">
        <f>BB13+0</f>
        <v>0</v>
      </c>
      <c r="BL13" s="38" t="str">
        <f>IF(AE13="","",CONCATENATE($BL$12&amp;AJ13&amp;AE13))</f>
        <v/>
      </c>
      <c r="BM13" s="38" t="str">
        <f>IF(AG13="","",CONCATENATE($BM$12&amp;AJ13&amp;AG13))</f>
        <v>dBX</v>
      </c>
      <c r="BN13" s="38" t="str">
        <f>IF(AF13="","",CONCATENATE($BN$12&amp;AJ13,AF13))</f>
        <v/>
      </c>
      <c r="BO13" s="38" t="str">
        <f>IF(AH13="","",CONCATENATE($BO$12&amp;AJ13&amp;AH13))</f>
        <v/>
      </c>
      <c r="BP13" s="38" t="str">
        <f>IF(AI13="","",CONCATENATE($BP$12&amp;AJ13&amp;AI13))</f>
        <v/>
      </c>
      <c r="BQ13" s="38" t="str">
        <f>CONCATENATE(BL13&amp;BM13&amp;BN13&amp;BO13&amp;BP13)</f>
        <v>dBX</v>
      </c>
    </row>
    <row r="14" spans="1:256" ht="15.6" x14ac:dyDescent="0.3">
      <c r="A14" s="104" t="s">
        <v>265</v>
      </c>
      <c r="B14" s="397">
        <f>IF(ISBLANK(HLOOKUP($F$10,spelerslijsten!$B$1:$J$22,4,FALSE)),"",HLOOKUP($F$10,spelerslijsten!$B$1:$J$22,4,FALSE))</f>
        <v>3</v>
      </c>
      <c r="C14" s="398"/>
      <c r="D14" s="105"/>
      <c r="E14" s="106" t="str">
        <f>IF(ISBLANK(HLOOKUP($F$10,spelerslijsten!$B$1:$J$22,3,FALSE)),"",HLOOKUP($F$10,spelerslijsten!$B$1:$J$22,3,FALSE))</f>
        <v>Helga Addink</v>
      </c>
      <c r="F14" s="107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8">
        <f t="shared" ref="V14:V20" si="0">SUMIF($AY$13:$AY$46,AT14,$BC$13:$BC$46)</f>
        <v>0</v>
      </c>
      <c r="W14" s="109" t="str">
        <f>IF(AU14&gt;0,"x","")</f>
        <v/>
      </c>
      <c r="X14" s="110" t="str">
        <f>IF(AU14&gt;1,"x","")</f>
        <v/>
      </c>
      <c r="Y14" s="103" t="str">
        <f>IF(AU14&gt;2,"x","")</f>
        <v/>
      </c>
      <c r="Z14" s="111"/>
      <c r="AA14" s="112">
        <v>2</v>
      </c>
      <c r="AB14" s="113" t="str">
        <f>+AB13</f>
        <v>-</v>
      </c>
      <c r="AC14" s="112">
        <v>5</v>
      </c>
      <c r="AD14" s="114">
        <v>5</v>
      </c>
      <c r="AE14" s="115"/>
      <c r="AF14" s="115"/>
      <c r="AG14" s="116" t="s">
        <v>265</v>
      </c>
      <c r="AH14" s="117"/>
      <c r="AI14" s="117"/>
      <c r="AJ14" s="342" t="s">
        <v>18</v>
      </c>
      <c r="AK14" s="343"/>
      <c r="AL14" s="346">
        <v>4</v>
      </c>
      <c r="AM14" s="347"/>
      <c r="AN14" s="118"/>
      <c r="AO14" s="101">
        <f>IF(BQ14="","",IF(BQ14=$BL$10,"2"+AO13,IF(BQ14=$BM$10,"1"+AO13,IF(BQ14=$BN$10,"0"+AO13,IF(BQ14=$BO$10,"0"+AO13,IF(BQ14=$BP$10,"0"+AO13,"0"+AO13))))))</f>
        <v>0</v>
      </c>
      <c r="AP14" s="113" t="str">
        <f>+AP13</f>
        <v>-</v>
      </c>
      <c r="AQ14" s="119"/>
      <c r="AR14" s="103">
        <f>IF(BQ14="","",IF(BQ14=$BL$11,"2"+AR13,IF(BQ14=$BM$11,"1"+AR13,IF(BQ14=$BN$11,"0"+AR13,IF(BQ14=$BO$11,"0"+AR13,IF(BQ14=$BP$11,"0"+AR13,"0"+AR13))))))</f>
        <v>2</v>
      </c>
      <c r="AT14" s="38" t="str">
        <f>CONCATENATE($AU$11&amp;B14)</f>
        <v>W3</v>
      </c>
      <c r="AU14" s="38">
        <f>SUMIF($AY$13:$AY$46,AT14,$BD$13:$BD$46)</f>
        <v>0</v>
      </c>
      <c r="AY14" s="38" t="str">
        <f t="shared" ref="AY14:AY46" si="1">CONCATENATE(AJ14&amp;AL14)</f>
        <v>B4</v>
      </c>
      <c r="AZ14" s="38" t="str">
        <f t="shared" ref="AZ14:AZ46" si="2">IF(AE14=$AW$11,"2","0")</f>
        <v>0</v>
      </c>
      <c r="BA14" s="38" t="str">
        <f t="shared" ref="BA14:BA46" si="3">IF(AG14=$AW$11,"1","0")</f>
        <v>1</v>
      </c>
      <c r="BB14" s="38" t="str">
        <f t="shared" ref="BB14:BB46" si="4">IF(AF14=$AW$11,"1","0")</f>
        <v>0</v>
      </c>
      <c r="BC14" s="38">
        <f t="shared" ref="BC14:BC46" si="5">AZ14+BA14</f>
        <v>1</v>
      </c>
      <c r="BD14" s="38">
        <f t="shared" ref="BD14:BD46" si="6">BB14+0</f>
        <v>0</v>
      </c>
      <c r="BL14" s="38" t="str">
        <f t="shared" ref="BL14:BL46" si="7">IF(AE14="","",CONCATENATE($BL$12&amp;AJ14&amp;AE14))</f>
        <v/>
      </c>
      <c r="BM14" s="38" t="str">
        <f t="shared" ref="BM14:BM46" si="8">IF(AG14="","",CONCATENATE($BM$12&amp;AJ14&amp;AG14))</f>
        <v>dBX</v>
      </c>
      <c r="BN14" s="38" t="str">
        <f t="shared" ref="BN14:BN46" si="9">IF(AF14="","",CONCATENATE($BN$12&amp;AJ14,AF14))</f>
        <v/>
      </c>
      <c r="BO14" s="38" t="str">
        <f t="shared" ref="BO14:BO46" si="10">IF(AH14="","",CONCATENATE($BO$12&amp;AJ14&amp;AH14))</f>
        <v/>
      </c>
      <c r="BP14" s="38" t="str">
        <f t="shared" ref="BP14:BP46" si="11">IF(AI14="","",CONCATENATE($BP$12&amp;AJ14&amp;AI14))</f>
        <v/>
      </c>
      <c r="BQ14" s="38" t="str">
        <f t="shared" ref="BQ14:BQ46" si="12">CONCATENATE(BL14&amp;BM14&amp;BN14&amp;BO14&amp;BP14)</f>
        <v>dBX</v>
      </c>
    </row>
    <row r="15" spans="1:256" ht="15.6" x14ac:dyDescent="0.3">
      <c r="A15" s="120" t="s">
        <v>265</v>
      </c>
      <c r="B15" s="397">
        <f>IF(ISBLANK(HLOOKUP($F$10,spelerslijsten!$B$1:$J$22,6,FALSE)),"",HLOOKUP($F$10,spelerslijsten!$B$1:$J$22,6,FALSE))</f>
        <v>4</v>
      </c>
      <c r="C15" s="398"/>
      <c r="D15" s="121"/>
      <c r="E15" s="122" t="str">
        <f>IF(ISBLANK(HLOOKUP($F$10,spelerslijsten!$B$1:$J$22,5,FALSE)),"",HLOOKUP($F$10,spelerslijsten!$B$1:$J$22,5,FALSE))</f>
        <v>Werner Dudek</v>
      </c>
      <c r="F15" s="123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08">
        <f t="shared" si="0"/>
        <v>1</v>
      </c>
      <c r="W15" s="109" t="str">
        <f t="shared" ref="W15:W23" si="13">IF(AU15&gt;0,"x","")</f>
        <v/>
      </c>
      <c r="X15" s="110" t="str">
        <f t="shared" ref="X15:X23" si="14">IF(AU15&gt;1,"x","")</f>
        <v/>
      </c>
      <c r="Y15" s="103" t="str">
        <f t="shared" ref="Y15:Y23" si="15">IF(AU15&gt;2,"x","")</f>
        <v/>
      </c>
      <c r="Z15" s="111"/>
      <c r="AA15" s="112">
        <v>3</v>
      </c>
      <c r="AB15" s="113" t="str">
        <f t="shared" ref="AB15:AB44" si="16">+AB14</f>
        <v>-</v>
      </c>
      <c r="AC15" s="112">
        <v>3</v>
      </c>
      <c r="AD15" s="114">
        <v>0</v>
      </c>
      <c r="AE15" s="115"/>
      <c r="AF15" s="115"/>
      <c r="AG15" s="116" t="s">
        <v>265</v>
      </c>
      <c r="AH15" s="117"/>
      <c r="AI15" s="117"/>
      <c r="AJ15" s="342" t="s">
        <v>17</v>
      </c>
      <c r="AK15" s="343"/>
      <c r="AL15" s="346">
        <v>9</v>
      </c>
      <c r="AM15" s="347"/>
      <c r="AN15" s="118"/>
      <c r="AO15" s="101">
        <f>IF(BQ15="","",IF(BQ15=$BL$10,"2"+AO14,IF(BQ15=$BM$10,"1"+AO14,IF(BQ15=$BN$10,"0"+AO14,IF(BQ15=$BO$10,"0"+AO14,IF(BQ15=$BP$10,"0"+AO14,"0"+AO14))))))</f>
        <v>1</v>
      </c>
      <c r="AP15" s="113" t="str">
        <f>+AP14</f>
        <v>-</v>
      </c>
      <c r="AQ15" s="119"/>
      <c r="AR15" s="103">
        <f>IF(BQ15="","",IF(BQ15=$BL$11,"2"+AR14,IF(BQ15=$BM$11,"1"+AR14,IF(BQ15=$BN$11,"0"+AR14,IF(BQ15=$BO$11,"0"+AR14,IF(BQ15=$BP$11,"0"+AR14,"0"+AR14))))))</f>
        <v>2</v>
      </c>
      <c r="AT15" s="38" t="str">
        <f t="shared" ref="AT15:AT23" si="17">CONCATENATE($AU$11&amp;B15)</f>
        <v>W4</v>
      </c>
      <c r="AU15" s="38">
        <f t="shared" ref="AU15:AU39" si="18">SUMIF($AY$13:$AY$46,AT15,$BD$13:$BD$46)</f>
        <v>0</v>
      </c>
      <c r="AY15" s="38" t="str">
        <f t="shared" si="1"/>
        <v>W9</v>
      </c>
      <c r="AZ15" s="38" t="str">
        <f t="shared" si="2"/>
        <v>0</v>
      </c>
      <c r="BA15" s="38" t="str">
        <f t="shared" si="3"/>
        <v>1</v>
      </c>
      <c r="BB15" s="38" t="str">
        <f t="shared" si="4"/>
        <v>0</v>
      </c>
      <c r="BC15" s="38">
        <f t="shared" si="5"/>
        <v>1</v>
      </c>
      <c r="BD15" s="38">
        <f t="shared" si="6"/>
        <v>0</v>
      </c>
      <c r="BL15" s="38" t="str">
        <f t="shared" si="7"/>
        <v/>
      </c>
      <c r="BM15" s="38" t="str">
        <f t="shared" si="8"/>
        <v>dWX</v>
      </c>
      <c r="BN15" s="38" t="str">
        <f t="shared" si="9"/>
        <v/>
      </c>
      <c r="BO15" s="38" t="str">
        <f t="shared" si="10"/>
        <v/>
      </c>
      <c r="BP15" s="38" t="str">
        <f t="shared" si="11"/>
        <v/>
      </c>
      <c r="BQ15" s="38" t="str">
        <f t="shared" si="12"/>
        <v>dWX</v>
      </c>
    </row>
    <row r="16" spans="1:256" ht="15.6" x14ac:dyDescent="0.3">
      <c r="A16" s="124" t="s">
        <v>265</v>
      </c>
      <c r="B16" s="397">
        <f>IF(ISBLANK(HLOOKUP($F$10,spelerslijsten!$B$1:$J$22,8,FALSE)),"",HLOOKUP($F$10,spelerslijsten!$B$1:$J$22,8,FALSE))</f>
        <v>5</v>
      </c>
      <c r="C16" s="398"/>
      <c r="D16" s="121"/>
      <c r="E16" s="122" t="str">
        <f>IF(ISBLANK(HLOOKUP($F$10,spelerslijsten!$B$1:$J$22,7,FALSE)),"",HLOOKUP($F$10,spelerslijsten!$B$1:$J$22,7,FALSE))</f>
        <v>Luc Mulder</v>
      </c>
      <c r="F16" s="12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08">
        <f t="shared" si="0"/>
        <v>0</v>
      </c>
      <c r="W16" s="109" t="str">
        <f t="shared" si="13"/>
        <v/>
      </c>
      <c r="X16" s="110" t="str">
        <f t="shared" si="14"/>
        <v/>
      </c>
      <c r="Y16" s="103" t="str">
        <f t="shared" si="15"/>
        <v/>
      </c>
      <c r="Z16" s="111"/>
      <c r="AA16" s="112">
        <v>6</v>
      </c>
      <c r="AB16" s="113" t="str">
        <f t="shared" si="16"/>
        <v>-</v>
      </c>
      <c r="AC16" s="112">
        <v>3</v>
      </c>
      <c r="AD16" s="114">
        <v>9</v>
      </c>
      <c r="AE16" s="115"/>
      <c r="AF16" s="115"/>
      <c r="AG16" s="116" t="s">
        <v>265</v>
      </c>
      <c r="AH16" s="117"/>
      <c r="AI16" s="117"/>
      <c r="AJ16" s="342" t="s">
        <v>18</v>
      </c>
      <c r="AK16" s="343"/>
      <c r="AL16" s="346">
        <v>4</v>
      </c>
      <c r="AM16" s="347"/>
      <c r="AN16" s="118"/>
      <c r="AO16" s="101">
        <f t="shared" ref="AO16:AO46" si="19">IF(BQ16="","",IF(BQ16=$BL$10,"2"+AO15,IF(BQ16=$BM$10,"1"+AO15,IF(BQ16=$BN$10,"0"+AO15,IF(BQ16=$BO$10,"0"+AO15,IF(BQ16=$BP$10,"0"+AO15,"0"+AO15))))))</f>
        <v>1</v>
      </c>
      <c r="AP16" s="113" t="str">
        <f t="shared" ref="AP16:AP46" si="20">+AP15</f>
        <v>-</v>
      </c>
      <c r="AQ16" s="119"/>
      <c r="AR16" s="103">
        <f t="shared" ref="AR16:AR46" si="21">IF(BQ16="","",IF(BQ16=$BL$11,"2"+AR15,IF(BQ16=$BM$11,"1"+AR15,IF(BQ16=$BN$11,"0"+AR15,IF(BQ16=$BO$11,"0"+AR15,IF(BQ16=$BP$11,"0"+AR15,"0"+AR15))))))</f>
        <v>3</v>
      </c>
      <c r="AT16" s="38" t="str">
        <f t="shared" si="17"/>
        <v>W5</v>
      </c>
      <c r="AU16" s="38">
        <f t="shared" si="18"/>
        <v>0</v>
      </c>
      <c r="AY16" s="38" t="str">
        <f t="shared" si="1"/>
        <v>B4</v>
      </c>
      <c r="AZ16" s="38" t="str">
        <f t="shared" si="2"/>
        <v>0</v>
      </c>
      <c r="BA16" s="38" t="str">
        <f t="shared" si="3"/>
        <v>1</v>
      </c>
      <c r="BB16" s="38" t="str">
        <f t="shared" si="4"/>
        <v>0</v>
      </c>
      <c r="BC16" s="38">
        <f t="shared" si="5"/>
        <v>1</v>
      </c>
      <c r="BD16" s="38">
        <f t="shared" si="6"/>
        <v>0</v>
      </c>
      <c r="BL16" s="38" t="str">
        <f t="shared" si="7"/>
        <v/>
      </c>
      <c r="BM16" s="38" t="str">
        <f t="shared" si="8"/>
        <v>dBX</v>
      </c>
      <c r="BN16" s="38" t="str">
        <f t="shared" si="9"/>
        <v/>
      </c>
      <c r="BO16" s="38" t="str">
        <f t="shared" si="10"/>
        <v/>
      </c>
      <c r="BP16" s="38" t="str">
        <f t="shared" si="11"/>
        <v/>
      </c>
      <c r="BQ16" s="38" t="str">
        <f t="shared" si="12"/>
        <v>dBX</v>
      </c>
    </row>
    <row r="17" spans="1:69" ht="15.6" x14ac:dyDescent="0.3">
      <c r="A17" s="124" t="s">
        <v>265</v>
      </c>
      <c r="B17" s="397">
        <f>IF(ISBLANK(HLOOKUP($F$10,spelerslijsten!$B$1:$J$22,10,FALSE)),"",HLOOKUP($F$10,spelerslijsten!$B$1:$J$22,10,FALSE))</f>
        <v>7</v>
      </c>
      <c r="C17" s="398"/>
      <c r="D17" s="121"/>
      <c r="E17" s="122" t="str">
        <f>IF(ISBLANK(HLOOKUP($F$10,spelerslijsten!$B$1:$J$22,9,FALSE)),"",HLOOKUP($F$10,spelerslijsten!$B$1:$J$22,9,FALSE))</f>
        <v>Ties Bouten</v>
      </c>
      <c r="F17" s="12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08">
        <f t="shared" si="0"/>
        <v>0</v>
      </c>
      <c r="W17" s="109" t="str">
        <f t="shared" si="13"/>
        <v/>
      </c>
      <c r="X17" s="110" t="str">
        <f t="shared" si="14"/>
        <v/>
      </c>
      <c r="Y17" s="103" t="str">
        <f t="shared" si="15"/>
        <v/>
      </c>
      <c r="Z17" s="111"/>
      <c r="AA17" s="112">
        <v>7</v>
      </c>
      <c r="AB17" s="113" t="str">
        <f t="shared" si="16"/>
        <v>-</v>
      </c>
      <c r="AC17" s="112">
        <v>3</v>
      </c>
      <c r="AD17" s="114">
        <v>9</v>
      </c>
      <c r="AE17" s="115"/>
      <c r="AF17" s="115"/>
      <c r="AG17" s="116" t="s">
        <v>265</v>
      </c>
      <c r="AH17" s="117"/>
      <c r="AI17" s="117"/>
      <c r="AJ17" s="342" t="s">
        <v>17</v>
      </c>
      <c r="AK17" s="343"/>
      <c r="AL17" s="346">
        <v>4</v>
      </c>
      <c r="AM17" s="347"/>
      <c r="AN17" s="118"/>
      <c r="AO17" s="101">
        <f t="shared" si="19"/>
        <v>2</v>
      </c>
      <c r="AP17" s="113" t="str">
        <f t="shared" si="20"/>
        <v>-</v>
      </c>
      <c r="AQ17" s="119"/>
      <c r="AR17" s="103">
        <f t="shared" si="21"/>
        <v>3</v>
      </c>
      <c r="AT17" s="38" t="str">
        <f t="shared" si="17"/>
        <v>W7</v>
      </c>
      <c r="AU17" s="38">
        <f t="shared" si="18"/>
        <v>0</v>
      </c>
      <c r="AY17" s="38" t="str">
        <f t="shared" si="1"/>
        <v>W4</v>
      </c>
      <c r="AZ17" s="38" t="str">
        <f t="shared" si="2"/>
        <v>0</v>
      </c>
      <c r="BA17" s="38" t="str">
        <f t="shared" si="3"/>
        <v>1</v>
      </c>
      <c r="BB17" s="38" t="str">
        <f t="shared" si="4"/>
        <v>0</v>
      </c>
      <c r="BC17" s="38">
        <f t="shared" si="5"/>
        <v>1</v>
      </c>
      <c r="BD17" s="38">
        <f t="shared" si="6"/>
        <v>0</v>
      </c>
      <c r="BL17" s="38" t="str">
        <f t="shared" si="7"/>
        <v/>
      </c>
      <c r="BM17" s="38" t="str">
        <f t="shared" si="8"/>
        <v>dWX</v>
      </c>
      <c r="BN17" s="38" t="str">
        <f t="shared" si="9"/>
        <v/>
      </c>
      <c r="BO17" s="38" t="str">
        <f t="shared" si="10"/>
        <v/>
      </c>
      <c r="BP17" s="38" t="str">
        <f t="shared" si="11"/>
        <v/>
      </c>
      <c r="BQ17" s="38" t="str">
        <f t="shared" si="12"/>
        <v>dWX</v>
      </c>
    </row>
    <row r="18" spans="1:69" ht="15.6" x14ac:dyDescent="0.3">
      <c r="A18" s="124" t="s">
        <v>265</v>
      </c>
      <c r="B18" s="397">
        <f>IF(ISBLANK(HLOOKUP($F$10,spelerslijsten!$B$1:$J$22,12,FALSE)),"",HLOOKUP($F$10,spelerslijsten!$B$1:$J$22,12,FALSE))</f>
        <v>9</v>
      </c>
      <c r="C18" s="398"/>
      <c r="D18" s="121"/>
      <c r="E18" s="122" t="str">
        <f>IF(ISBLANK(HLOOKUP($F$10,spelerslijsten!$B$1:$J$22,11,FALSE)),"",HLOOKUP($F$10,spelerslijsten!$B$1:$J$22,11,FALSE))</f>
        <v>Wilma van Helden</v>
      </c>
      <c r="F18" s="12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08">
        <f t="shared" si="0"/>
        <v>2</v>
      </c>
      <c r="W18" s="109" t="str">
        <f t="shared" si="13"/>
        <v/>
      </c>
      <c r="X18" s="110" t="str">
        <f t="shared" si="14"/>
        <v/>
      </c>
      <c r="Y18" s="103" t="str">
        <f t="shared" si="15"/>
        <v/>
      </c>
      <c r="Z18" s="111"/>
      <c r="AA18" s="112">
        <v>8</v>
      </c>
      <c r="AB18" s="113" t="s">
        <v>16</v>
      </c>
      <c r="AC18" s="112">
        <v>5</v>
      </c>
      <c r="AD18" s="114">
        <v>9</v>
      </c>
      <c r="AE18" s="115"/>
      <c r="AF18" s="115"/>
      <c r="AG18" s="116" t="s">
        <v>265</v>
      </c>
      <c r="AH18" s="117"/>
      <c r="AI18" s="117"/>
      <c r="AJ18" s="342" t="s">
        <v>18</v>
      </c>
      <c r="AK18" s="343"/>
      <c r="AL18" s="346">
        <v>5</v>
      </c>
      <c r="AM18" s="347"/>
      <c r="AN18" s="118"/>
      <c r="AO18" s="101">
        <f t="shared" si="19"/>
        <v>2</v>
      </c>
      <c r="AP18" s="113" t="str">
        <f t="shared" si="20"/>
        <v>-</v>
      </c>
      <c r="AQ18" s="119"/>
      <c r="AR18" s="103">
        <f t="shared" si="21"/>
        <v>4</v>
      </c>
      <c r="AT18" s="38" t="str">
        <f t="shared" si="17"/>
        <v>W9</v>
      </c>
      <c r="AU18" s="38">
        <f t="shared" si="18"/>
        <v>0</v>
      </c>
      <c r="AY18" s="38" t="str">
        <f t="shared" si="1"/>
        <v>B5</v>
      </c>
      <c r="AZ18" s="38" t="str">
        <f t="shared" si="2"/>
        <v>0</v>
      </c>
      <c r="BA18" s="38" t="str">
        <f t="shared" si="3"/>
        <v>1</v>
      </c>
      <c r="BB18" s="38" t="str">
        <f t="shared" si="4"/>
        <v>0</v>
      </c>
      <c r="BC18" s="38">
        <f t="shared" si="5"/>
        <v>1</v>
      </c>
      <c r="BD18" s="38">
        <f t="shared" si="6"/>
        <v>0</v>
      </c>
      <c r="BL18" s="38" t="str">
        <f t="shared" si="7"/>
        <v/>
      </c>
      <c r="BM18" s="38" t="str">
        <f t="shared" si="8"/>
        <v>dBX</v>
      </c>
      <c r="BN18" s="38" t="str">
        <f t="shared" si="9"/>
        <v/>
      </c>
      <c r="BO18" s="38" t="str">
        <f t="shared" si="10"/>
        <v/>
      </c>
      <c r="BP18" s="38" t="str">
        <f t="shared" si="11"/>
        <v/>
      </c>
      <c r="BQ18" s="38" t="str">
        <f t="shared" si="12"/>
        <v>dBX</v>
      </c>
    </row>
    <row r="19" spans="1:69" ht="15.6" x14ac:dyDescent="0.3">
      <c r="A19" s="124"/>
      <c r="B19" s="397">
        <f>IF(ISBLANK(HLOOKUP($F$10,spelerslijsten!$B$1:$J$22,14,FALSE)),"",HLOOKUP($F$10,spelerslijsten!$B$1:$J$22,14,FALSE))</f>
        <v>11</v>
      </c>
      <c r="C19" s="398"/>
      <c r="D19" s="121"/>
      <c r="E19" s="122" t="str">
        <f>IF(ISBLANK(HLOOKUP($F$10,spelerslijsten!$B$1:$J$22,13,FALSE)),"",HLOOKUP($F$10,spelerslijsten!$B$1:$J$22,13,FALSE))</f>
        <v>Sonja Bouten</v>
      </c>
      <c r="F19" s="12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08">
        <f t="shared" si="0"/>
        <v>0</v>
      </c>
      <c r="W19" s="109" t="str">
        <f t="shared" si="13"/>
        <v/>
      </c>
      <c r="X19" s="110" t="str">
        <f t="shared" si="14"/>
        <v/>
      </c>
      <c r="Y19" s="103" t="str">
        <f t="shared" si="15"/>
        <v/>
      </c>
      <c r="Z19" s="111">
        <v>1</v>
      </c>
      <c r="AA19" s="112">
        <v>0</v>
      </c>
      <c r="AB19" s="113" t="str">
        <f t="shared" si="16"/>
        <v>-</v>
      </c>
      <c r="AC19" s="112">
        <v>3</v>
      </c>
      <c r="AD19" s="114">
        <v>0</v>
      </c>
      <c r="AE19" s="115"/>
      <c r="AF19" s="115"/>
      <c r="AG19" s="116" t="s">
        <v>265</v>
      </c>
      <c r="AH19" s="117"/>
      <c r="AI19" s="117"/>
      <c r="AJ19" s="342" t="s">
        <v>17</v>
      </c>
      <c r="AK19" s="343"/>
      <c r="AL19" s="346">
        <v>9</v>
      </c>
      <c r="AM19" s="347"/>
      <c r="AN19" s="118"/>
      <c r="AO19" s="101">
        <f t="shared" si="19"/>
        <v>3</v>
      </c>
      <c r="AP19" s="113" t="str">
        <f t="shared" si="20"/>
        <v>-</v>
      </c>
      <c r="AQ19" s="119"/>
      <c r="AR19" s="103">
        <f t="shared" si="21"/>
        <v>4</v>
      </c>
      <c r="AT19" s="38" t="str">
        <f t="shared" si="17"/>
        <v>W11</v>
      </c>
      <c r="AU19" s="38">
        <f t="shared" si="18"/>
        <v>0</v>
      </c>
      <c r="AY19" s="38" t="str">
        <f t="shared" si="1"/>
        <v>W9</v>
      </c>
      <c r="AZ19" s="38" t="str">
        <f t="shared" si="2"/>
        <v>0</v>
      </c>
      <c r="BA19" s="38" t="str">
        <f t="shared" si="3"/>
        <v>1</v>
      </c>
      <c r="BB19" s="38" t="str">
        <f t="shared" si="4"/>
        <v>0</v>
      </c>
      <c r="BC19" s="38">
        <f t="shared" si="5"/>
        <v>1</v>
      </c>
      <c r="BD19" s="38">
        <f t="shared" si="6"/>
        <v>0</v>
      </c>
      <c r="BL19" s="38" t="str">
        <f t="shared" si="7"/>
        <v/>
      </c>
      <c r="BM19" s="38" t="str">
        <f t="shared" si="8"/>
        <v>dWX</v>
      </c>
      <c r="BN19" s="38" t="str">
        <f t="shared" si="9"/>
        <v/>
      </c>
      <c r="BO19" s="38" t="str">
        <f t="shared" si="10"/>
        <v/>
      </c>
      <c r="BP19" s="38" t="str">
        <f t="shared" si="11"/>
        <v/>
      </c>
      <c r="BQ19" s="38" t="str">
        <f t="shared" si="12"/>
        <v>dWX</v>
      </c>
    </row>
    <row r="20" spans="1:69" ht="15.6" x14ac:dyDescent="0.3">
      <c r="A20" s="124" t="s">
        <v>265</v>
      </c>
      <c r="B20" s="397">
        <f>IF(ISBLANK(HLOOKUP($F$10,spelerslijsten!$B$1:$J$22,16,FALSE)),"",HLOOKUP($F$10,spelerslijsten!$B$1:$J$22,16,FALSE))</f>
        <v>12</v>
      </c>
      <c r="C20" s="398"/>
      <c r="D20" s="121"/>
      <c r="E20" s="122" t="str">
        <f>IF(ISBLANK(HLOOKUP($F$10,spelerslijsten!$B$1:$J$22,15,FALSE)),"",HLOOKUP($F$10,spelerslijsten!$B$1:$J$22,15,FALSE))</f>
        <v>Hans Reijnders (leen)</v>
      </c>
      <c r="F20" s="12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08">
        <f t="shared" si="0"/>
        <v>0</v>
      </c>
      <c r="W20" s="109" t="str">
        <f t="shared" si="13"/>
        <v/>
      </c>
      <c r="X20" s="110" t="str">
        <f t="shared" si="14"/>
        <v/>
      </c>
      <c r="Y20" s="103" t="str">
        <f t="shared" si="15"/>
        <v/>
      </c>
      <c r="Z20" s="111">
        <v>1</v>
      </c>
      <c r="AA20" s="112">
        <v>3</v>
      </c>
      <c r="AB20" s="113" t="str">
        <f t="shared" si="16"/>
        <v>-</v>
      </c>
      <c r="AC20" s="112">
        <v>0</v>
      </c>
      <c r="AD20" s="114">
        <v>5</v>
      </c>
      <c r="AE20" s="115"/>
      <c r="AF20" s="115"/>
      <c r="AG20" s="116" t="s">
        <v>265</v>
      </c>
      <c r="AH20" s="117"/>
      <c r="AI20" s="117"/>
      <c r="AJ20" s="342" t="s">
        <v>18</v>
      </c>
      <c r="AK20" s="343"/>
      <c r="AL20" s="346">
        <v>10</v>
      </c>
      <c r="AM20" s="347"/>
      <c r="AN20" s="118"/>
      <c r="AO20" s="101">
        <f t="shared" si="19"/>
        <v>3</v>
      </c>
      <c r="AP20" s="113" t="str">
        <f t="shared" si="20"/>
        <v>-</v>
      </c>
      <c r="AQ20" s="119"/>
      <c r="AR20" s="103">
        <f t="shared" si="21"/>
        <v>5</v>
      </c>
      <c r="AT20" s="38" t="str">
        <f t="shared" si="17"/>
        <v>W12</v>
      </c>
      <c r="AU20" s="38">
        <f t="shared" si="18"/>
        <v>0</v>
      </c>
      <c r="AY20" s="38" t="str">
        <f t="shared" si="1"/>
        <v>B10</v>
      </c>
      <c r="AZ20" s="38" t="str">
        <f t="shared" si="2"/>
        <v>0</v>
      </c>
      <c r="BA20" s="38" t="str">
        <f t="shared" si="3"/>
        <v>1</v>
      </c>
      <c r="BB20" s="38" t="str">
        <f t="shared" si="4"/>
        <v>0</v>
      </c>
      <c r="BC20" s="38">
        <f t="shared" si="5"/>
        <v>1</v>
      </c>
      <c r="BD20" s="38">
        <f t="shared" si="6"/>
        <v>0</v>
      </c>
      <c r="BL20" s="38" t="str">
        <f t="shared" si="7"/>
        <v/>
      </c>
      <c r="BM20" s="38" t="str">
        <f t="shared" si="8"/>
        <v>dBX</v>
      </c>
      <c r="BN20" s="38" t="str">
        <f t="shared" si="9"/>
        <v/>
      </c>
      <c r="BO20" s="38" t="str">
        <f t="shared" si="10"/>
        <v/>
      </c>
      <c r="BP20" s="38" t="str">
        <f t="shared" si="11"/>
        <v/>
      </c>
      <c r="BQ20" s="38" t="str">
        <f t="shared" si="12"/>
        <v>dBX</v>
      </c>
    </row>
    <row r="21" spans="1:69" ht="15.6" x14ac:dyDescent="0.3">
      <c r="A21" s="124"/>
      <c r="B21" s="397" t="str">
        <f>IF(ISBLANK(HLOOKUP($F$10,spelerslijsten!$B$1:$J$22,18,FALSE)),"",HLOOKUP($F$10,spelerslijsten!$B$1:$J$22,18,FALSE))</f>
        <v/>
      </c>
      <c r="C21" s="398"/>
      <c r="D21" s="121"/>
      <c r="E21" s="122" t="str">
        <f>IF(ISBLANK(HLOOKUP($F$10,spelerslijsten!$B$1:$J$22,17,FALSE)),"",HLOOKUP($F$10,spelerslijsten!$B$1:$J$22,17,FALSE))</f>
        <v/>
      </c>
      <c r="F21" s="12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08">
        <f>SUMIF($AY$13:$AY$46,AT21,$BC$13:$BC$46)</f>
        <v>0</v>
      </c>
      <c r="W21" s="109" t="str">
        <f t="shared" si="13"/>
        <v/>
      </c>
      <c r="X21" s="110" t="str">
        <f t="shared" si="14"/>
        <v/>
      </c>
      <c r="Y21" s="103" t="str">
        <f t="shared" si="15"/>
        <v/>
      </c>
      <c r="Z21" s="111"/>
      <c r="AA21" s="112"/>
      <c r="AB21" s="113" t="str">
        <f t="shared" si="16"/>
        <v>-</v>
      </c>
      <c r="AC21" s="112"/>
      <c r="AD21" s="114"/>
      <c r="AE21" s="115"/>
      <c r="AF21" s="115"/>
      <c r="AG21" s="116"/>
      <c r="AH21" s="117"/>
      <c r="AI21" s="117"/>
      <c r="AJ21" s="342"/>
      <c r="AK21" s="343"/>
      <c r="AL21" s="346"/>
      <c r="AM21" s="347"/>
      <c r="AN21" s="118"/>
      <c r="AO21" s="101" t="str">
        <f t="shared" si="19"/>
        <v/>
      </c>
      <c r="AP21" s="113" t="str">
        <f t="shared" si="20"/>
        <v>-</v>
      </c>
      <c r="AQ21" s="119"/>
      <c r="AR21" s="103" t="str">
        <f t="shared" si="21"/>
        <v/>
      </c>
      <c r="AT21" s="38" t="str">
        <f t="shared" si="17"/>
        <v>W</v>
      </c>
      <c r="AU21" s="38">
        <f t="shared" si="18"/>
        <v>0</v>
      </c>
      <c r="AY21" s="38" t="str">
        <f t="shared" si="1"/>
        <v/>
      </c>
      <c r="AZ21" s="38" t="str">
        <f t="shared" si="2"/>
        <v>0</v>
      </c>
      <c r="BA21" s="38" t="str">
        <f t="shared" si="3"/>
        <v>0</v>
      </c>
      <c r="BB21" s="38" t="str">
        <f t="shared" si="4"/>
        <v>0</v>
      </c>
      <c r="BC21" s="38">
        <f t="shared" si="5"/>
        <v>0</v>
      </c>
      <c r="BD21" s="38">
        <f t="shared" si="6"/>
        <v>0</v>
      </c>
      <c r="BL21" s="38" t="str">
        <f t="shared" si="7"/>
        <v/>
      </c>
      <c r="BM21" s="38" t="str">
        <f t="shared" si="8"/>
        <v/>
      </c>
      <c r="BN21" s="38" t="str">
        <f t="shared" si="9"/>
        <v/>
      </c>
      <c r="BO21" s="38" t="str">
        <f t="shared" si="10"/>
        <v/>
      </c>
      <c r="BP21" s="38" t="str">
        <f t="shared" si="11"/>
        <v/>
      </c>
      <c r="BQ21" s="38" t="str">
        <f t="shared" si="12"/>
        <v/>
      </c>
    </row>
    <row r="22" spans="1:69" ht="15.6" x14ac:dyDescent="0.3">
      <c r="A22" s="124"/>
      <c r="B22" s="397" t="str">
        <f>IF(ISBLANK(HLOOKUP($F$10,spelerslijsten!$B$1:$J$22,20,FALSE)),"",HLOOKUP($F$10,spelerslijsten!$B$1:$J$22,20,FALSE))</f>
        <v/>
      </c>
      <c r="C22" s="398"/>
      <c r="D22" s="121"/>
      <c r="E22" s="122" t="str">
        <f>IF(ISBLANK(HLOOKUP($F$10,spelerslijsten!$B$1:$J$22,19,FALSE)),"",HLOOKUP($F$10,spelerslijsten!$B$1:$J$22,19,FALSE))</f>
        <v/>
      </c>
      <c r="F22" s="12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08">
        <f t="shared" ref="V22:V23" si="22">SUMIF($AY$13:$AY$46,AT22,$BC$13:$BC$46)</f>
        <v>0</v>
      </c>
      <c r="W22" s="109" t="str">
        <f t="shared" si="13"/>
        <v/>
      </c>
      <c r="X22" s="110" t="str">
        <f t="shared" si="14"/>
        <v/>
      </c>
      <c r="Y22" s="103" t="str">
        <f t="shared" si="15"/>
        <v/>
      </c>
      <c r="Z22" s="111"/>
      <c r="AA22" s="112"/>
      <c r="AB22" s="113" t="str">
        <f t="shared" si="16"/>
        <v>-</v>
      </c>
      <c r="AC22" s="112"/>
      <c r="AD22" s="114"/>
      <c r="AE22" s="115"/>
      <c r="AF22" s="115"/>
      <c r="AG22" s="116"/>
      <c r="AH22" s="117"/>
      <c r="AI22" s="117"/>
      <c r="AJ22" s="342"/>
      <c r="AK22" s="343"/>
      <c r="AL22" s="346"/>
      <c r="AM22" s="347"/>
      <c r="AN22" s="118"/>
      <c r="AO22" s="101" t="str">
        <f t="shared" si="19"/>
        <v/>
      </c>
      <c r="AP22" s="113" t="str">
        <f t="shared" si="20"/>
        <v>-</v>
      </c>
      <c r="AQ22" s="119"/>
      <c r="AR22" s="103" t="str">
        <f t="shared" si="21"/>
        <v/>
      </c>
      <c r="AT22" s="38" t="str">
        <f t="shared" si="17"/>
        <v>W</v>
      </c>
      <c r="AU22" s="38">
        <f t="shared" si="18"/>
        <v>0</v>
      </c>
      <c r="AY22" s="38" t="str">
        <f t="shared" si="1"/>
        <v/>
      </c>
      <c r="AZ22" s="38" t="str">
        <f t="shared" si="2"/>
        <v>0</v>
      </c>
      <c r="BA22" s="38" t="str">
        <f t="shared" si="3"/>
        <v>0</v>
      </c>
      <c r="BB22" s="38" t="str">
        <f t="shared" si="4"/>
        <v>0</v>
      </c>
      <c r="BC22" s="38">
        <f t="shared" si="5"/>
        <v>0</v>
      </c>
      <c r="BD22" s="38">
        <f t="shared" si="6"/>
        <v>0</v>
      </c>
      <c r="BL22" s="38" t="str">
        <f t="shared" si="7"/>
        <v/>
      </c>
      <c r="BM22" s="38" t="str">
        <f t="shared" si="8"/>
        <v/>
      </c>
      <c r="BN22" s="38" t="str">
        <f t="shared" si="9"/>
        <v/>
      </c>
      <c r="BO22" s="38" t="str">
        <f t="shared" si="10"/>
        <v/>
      </c>
      <c r="BP22" s="38" t="str">
        <f t="shared" si="11"/>
        <v/>
      </c>
      <c r="BQ22" s="38" t="str">
        <f t="shared" si="12"/>
        <v/>
      </c>
    </row>
    <row r="23" spans="1:69" ht="15.6" x14ac:dyDescent="0.3">
      <c r="A23" s="125"/>
      <c r="B23" s="397" t="str">
        <f>IF(ISBLANK(HLOOKUP($F$10,spelerslijsten!$B$1:$J$22,22,FALSE)),"",HLOOKUP($F$10,spelerslijsten!$B$1:$J$22,22,FALSE))</f>
        <v/>
      </c>
      <c r="C23" s="398"/>
      <c r="D23" s="126"/>
      <c r="E23" s="259" t="str">
        <f>IF(ISBLANK(HLOOKUP($F$10,spelerslijsten!$B$1:$J$22,21,FALSE)),"",HLOOKUP($F$10,spelerslijsten!$B$1:$J$22,21,FALSE))</f>
        <v/>
      </c>
      <c r="F23" s="126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08">
        <f t="shared" si="22"/>
        <v>0</v>
      </c>
      <c r="W23" s="109" t="str">
        <f t="shared" si="13"/>
        <v/>
      </c>
      <c r="X23" s="110" t="str">
        <f t="shared" si="14"/>
        <v/>
      </c>
      <c r="Y23" s="103" t="str">
        <f t="shared" si="15"/>
        <v/>
      </c>
      <c r="Z23" s="111"/>
      <c r="AA23" s="112"/>
      <c r="AB23" s="113" t="str">
        <f t="shared" si="16"/>
        <v>-</v>
      </c>
      <c r="AC23" s="112"/>
      <c r="AD23" s="114"/>
      <c r="AE23" s="115"/>
      <c r="AF23" s="115"/>
      <c r="AG23" s="116"/>
      <c r="AH23" s="117"/>
      <c r="AI23" s="117"/>
      <c r="AJ23" s="342"/>
      <c r="AK23" s="343"/>
      <c r="AL23" s="346"/>
      <c r="AM23" s="347"/>
      <c r="AN23" s="118"/>
      <c r="AO23" s="101" t="str">
        <f t="shared" si="19"/>
        <v/>
      </c>
      <c r="AP23" s="113" t="str">
        <f t="shared" si="20"/>
        <v>-</v>
      </c>
      <c r="AQ23" s="119"/>
      <c r="AR23" s="103" t="str">
        <f t="shared" si="21"/>
        <v/>
      </c>
      <c r="AT23" s="38" t="str">
        <f t="shared" si="17"/>
        <v>W</v>
      </c>
      <c r="AU23" s="38">
        <f t="shared" si="18"/>
        <v>0</v>
      </c>
      <c r="AY23" s="38" t="str">
        <f t="shared" si="1"/>
        <v/>
      </c>
      <c r="AZ23" s="38" t="str">
        <f t="shared" si="2"/>
        <v>0</v>
      </c>
      <c r="BA23" s="38" t="str">
        <f t="shared" si="3"/>
        <v>0</v>
      </c>
      <c r="BB23" s="38" t="str">
        <f t="shared" si="4"/>
        <v>0</v>
      </c>
      <c r="BC23" s="38">
        <f t="shared" si="5"/>
        <v>0</v>
      </c>
      <c r="BD23" s="38">
        <f t="shared" si="6"/>
        <v>0</v>
      </c>
      <c r="BL23" s="38" t="str">
        <f t="shared" si="7"/>
        <v/>
      </c>
      <c r="BM23" s="38" t="str">
        <f t="shared" si="8"/>
        <v/>
      </c>
      <c r="BN23" s="38" t="str">
        <f t="shared" si="9"/>
        <v/>
      </c>
      <c r="BO23" s="38" t="str">
        <f t="shared" si="10"/>
        <v/>
      </c>
      <c r="BP23" s="38" t="str">
        <f t="shared" si="11"/>
        <v/>
      </c>
      <c r="BQ23" s="38" t="str">
        <f t="shared" si="12"/>
        <v/>
      </c>
    </row>
    <row r="24" spans="1:69" ht="16.2" thickBot="1" x14ac:dyDescent="0.35">
      <c r="A24" s="71" t="s">
        <v>67</v>
      </c>
      <c r="B24" s="72"/>
      <c r="C24" s="72"/>
      <c r="D24" s="72"/>
      <c r="E24" s="72"/>
      <c r="F24" s="72"/>
      <c r="G24" s="72"/>
      <c r="I24" s="399">
        <f>HLOOKUP(F10,spelerslijsten!B1:J25,25,FALSE)</f>
        <v>6</v>
      </c>
      <c r="J24" s="400"/>
      <c r="K24" s="74" t="s">
        <v>23</v>
      </c>
      <c r="L24" s="72"/>
      <c r="M24" s="72"/>
      <c r="N24" s="129" t="str">
        <f>HLOOKUP(F10,spelerslijsten!B1:J25,23,FALSE)</f>
        <v>Sol Geraedts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30"/>
      <c r="Z24" s="131"/>
      <c r="AA24" s="132"/>
      <c r="AB24" s="133" t="str">
        <f t="shared" si="16"/>
        <v>-</v>
      </c>
      <c r="AC24" s="132"/>
      <c r="AD24" s="134"/>
      <c r="AE24" s="135"/>
      <c r="AF24" s="135"/>
      <c r="AG24" s="136"/>
      <c r="AH24" s="137"/>
      <c r="AI24" s="137"/>
      <c r="AJ24" s="342"/>
      <c r="AK24" s="343"/>
      <c r="AL24" s="350"/>
      <c r="AM24" s="351"/>
      <c r="AN24" s="138"/>
      <c r="AO24" s="101" t="str">
        <f t="shared" si="19"/>
        <v/>
      </c>
      <c r="AP24" s="113" t="str">
        <f t="shared" si="20"/>
        <v>-</v>
      </c>
      <c r="AQ24" s="119"/>
      <c r="AR24" s="103" t="str">
        <f t="shared" si="21"/>
        <v/>
      </c>
      <c r="AY24" s="38" t="str">
        <f t="shared" si="1"/>
        <v/>
      </c>
      <c r="AZ24" s="38" t="str">
        <f t="shared" si="2"/>
        <v>0</v>
      </c>
      <c r="BA24" s="38" t="str">
        <f t="shared" si="3"/>
        <v>0</v>
      </c>
      <c r="BB24" s="38" t="str">
        <f t="shared" si="4"/>
        <v>0</v>
      </c>
      <c r="BC24" s="38">
        <f t="shared" si="5"/>
        <v>0</v>
      </c>
      <c r="BD24" s="38">
        <f t="shared" si="6"/>
        <v>0</v>
      </c>
      <c r="BL24" s="38" t="str">
        <f t="shared" si="7"/>
        <v/>
      </c>
      <c r="BM24" s="38" t="str">
        <f t="shared" si="8"/>
        <v/>
      </c>
      <c r="BN24" s="38" t="str">
        <f t="shared" si="9"/>
        <v/>
      </c>
      <c r="BO24" s="38" t="str">
        <f t="shared" si="10"/>
        <v/>
      </c>
      <c r="BP24" s="38" t="str">
        <f t="shared" si="11"/>
        <v/>
      </c>
      <c r="BQ24" s="38" t="str">
        <f t="shared" si="12"/>
        <v/>
      </c>
    </row>
    <row r="25" spans="1:69" ht="15" customHeight="1" x14ac:dyDescent="0.3">
      <c r="A25" s="78" t="s">
        <v>60</v>
      </c>
      <c r="B25" s="79"/>
      <c r="C25" s="79"/>
      <c r="D25" s="79"/>
      <c r="E25" s="79"/>
      <c r="F25" s="356" t="str">
        <f>+AC7</f>
        <v>De Tubanten 2</v>
      </c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7"/>
      <c r="Z25" s="139"/>
      <c r="AA25" s="140"/>
      <c r="AB25" s="141" t="str">
        <f t="shared" si="16"/>
        <v>-</v>
      </c>
      <c r="AC25" s="140"/>
      <c r="AD25" s="142"/>
      <c r="AE25" s="143"/>
      <c r="AF25" s="143"/>
      <c r="AG25" s="144"/>
      <c r="AH25" s="145"/>
      <c r="AI25" s="145"/>
      <c r="AJ25" s="342"/>
      <c r="AK25" s="343"/>
      <c r="AL25" s="346"/>
      <c r="AM25" s="347"/>
      <c r="AN25" s="146"/>
      <c r="AO25" s="101" t="str">
        <f t="shared" si="19"/>
        <v/>
      </c>
      <c r="AP25" s="113" t="str">
        <f t="shared" si="20"/>
        <v>-</v>
      </c>
      <c r="AQ25" s="119"/>
      <c r="AR25" s="103" t="str">
        <f t="shared" si="21"/>
        <v/>
      </c>
      <c r="AY25" s="38" t="str">
        <f t="shared" si="1"/>
        <v/>
      </c>
      <c r="AZ25" s="38" t="str">
        <f t="shared" si="2"/>
        <v>0</v>
      </c>
      <c r="BA25" s="38" t="str">
        <f t="shared" si="3"/>
        <v>0</v>
      </c>
      <c r="BB25" s="38" t="str">
        <f t="shared" si="4"/>
        <v>0</v>
      </c>
      <c r="BC25" s="38">
        <f t="shared" si="5"/>
        <v>0</v>
      </c>
      <c r="BD25" s="38">
        <f t="shared" si="6"/>
        <v>0</v>
      </c>
      <c r="BL25" s="38" t="str">
        <f t="shared" si="7"/>
        <v/>
      </c>
      <c r="BM25" s="38" t="str">
        <f t="shared" si="8"/>
        <v/>
      </c>
      <c r="BN25" s="38" t="str">
        <f t="shared" si="9"/>
        <v/>
      </c>
      <c r="BO25" s="38" t="str">
        <f t="shared" si="10"/>
        <v/>
      </c>
      <c r="BP25" s="38" t="str">
        <f t="shared" si="11"/>
        <v/>
      </c>
      <c r="BQ25" s="38" t="str">
        <f t="shared" si="12"/>
        <v/>
      </c>
    </row>
    <row r="26" spans="1:69" ht="15" customHeight="1" x14ac:dyDescent="0.3">
      <c r="A26" s="393" t="s">
        <v>24</v>
      </c>
      <c r="B26" s="394"/>
      <c r="C26" s="394"/>
      <c r="D26" s="394"/>
      <c r="E26" s="81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9"/>
      <c r="Z26" s="139"/>
      <c r="AA26" s="140"/>
      <c r="AB26" s="141" t="s">
        <v>16</v>
      </c>
      <c r="AC26" s="140"/>
      <c r="AD26" s="142"/>
      <c r="AE26" s="143"/>
      <c r="AF26" s="143"/>
      <c r="AG26" s="144"/>
      <c r="AH26" s="145"/>
      <c r="AI26" s="145"/>
      <c r="AJ26" s="342"/>
      <c r="AK26" s="343"/>
      <c r="AL26" s="346"/>
      <c r="AM26" s="347"/>
      <c r="AN26" s="146"/>
      <c r="AO26" s="101" t="str">
        <f t="shared" si="19"/>
        <v/>
      </c>
      <c r="AP26" s="113" t="str">
        <f t="shared" si="20"/>
        <v>-</v>
      </c>
      <c r="AQ26" s="119"/>
      <c r="AR26" s="103" t="str">
        <f t="shared" si="21"/>
        <v/>
      </c>
      <c r="AY26" s="38" t="str">
        <f t="shared" si="1"/>
        <v/>
      </c>
      <c r="AZ26" s="38" t="str">
        <f t="shared" si="2"/>
        <v>0</v>
      </c>
      <c r="BA26" s="38" t="str">
        <f t="shared" si="3"/>
        <v>0</v>
      </c>
      <c r="BB26" s="38" t="str">
        <f t="shared" si="4"/>
        <v>0</v>
      </c>
      <c r="BC26" s="38">
        <f t="shared" si="5"/>
        <v>0</v>
      </c>
      <c r="BD26" s="38">
        <f t="shared" si="6"/>
        <v>0</v>
      </c>
      <c r="BL26" s="38" t="str">
        <f t="shared" si="7"/>
        <v/>
      </c>
      <c r="BM26" s="38" t="str">
        <f t="shared" si="8"/>
        <v/>
      </c>
      <c r="BN26" s="38" t="str">
        <f t="shared" si="9"/>
        <v/>
      </c>
      <c r="BO26" s="38" t="str">
        <f t="shared" si="10"/>
        <v/>
      </c>
      <c r="BP26" s="38" t="str">
        <f t="shared" si="11"/>
        <v/>
      </c>
      <c r="BQ26" s="38" t="str">
        <f t="shared" si="12"/>
        <v/>
      </c>
    </row>
    <row r="27" spans="1:69" ht="15.6" x14ac:dyDescent="0.3">
      <c r="A27" s="393"/>
      <c r="B27" s="394"/>
      <c r="C27" s="394"/>
      <c r="D27" s="394"/>
      <c r="E27" s="81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9"/>
      <c r="Z27" s="139"/>
      <c r="AA27" s="140"/>
      <c r="AB27" s="141" t="s">
        <v>16</v>
      </c>
      <c r="AC27" s="140"/>
      <c r="AD27" s="142"/>
      <c r="AE27" s="143"/>
      <c r="AF27" s="143"/>
      <c r="AG27" s="144"/>
      <c r="AH27" s="145"/>
      <c r="AI27" s="145"/>
      <c r="AJ27" s="342"/>
      <c r="AK27" s="343"/>
      <c r="AL27" s="346"/>
      <c r="AM27" s="347"/>
      <c r="AN27" s="146"/>
      <c r="AO27" s="101" t="str">
        <f t="shared" si="19"/>
        <v/>
      </c>
      <c r="AP27" s="113" t="str">
        <f t="shared" si="20"/>
        <v>-</v>
      </c>
      <c r="AQ27" s="119"/>
      <c r="AR27" s="103" t="str">
        <f t="shared" si="21"/>
        <v/>
      </c>
      <c r="AY27" s="38" t="str">
        <f t="shared" si="1"/>
        <v/>
      </c>
      <c r="AZ27" s="38" t="str">
        <f t="shared" si="2"/>
        <v>0</v>
      </c>
      <c r="BA27" s="38" t="str">
        <f t="shared" si="3"/>
        <v>0</v>
      </c>
      <c r="BB27" s="38" t="str">
        <f t="shared" si="4"/>
        <v>0</v>
      </c>
      <c r="BC27" s="38">
        <f t="shared" si="5"/>
        <v>0</v>
      </c>
      <c r="BD27" s="38">
        <f t="shared" si="6"/>
        <v>0</v>
      </c>
      <c r="BL27" s="38" t="str">
        <f t="shared" si="7"/>
        <v/>
      </c>
      <c r="BM27" s="38" t="str">
        <f t="shared" si="8"/>
        <v/>
      </c>
      <c r="BN27" s="38" t="str">
        <f t="shared" si="9"/>
        <v/>
      </c>
      <c r="BO27" s="38" t="str">
        <f t="shared" si="10"/>
        <v/>
      </c>
      <c r="BP27" s="38" t="str">
        <f t="shared" si="11"/>
        <v/>
      </c>
      <c r="BQ27" s="38" t="str">
        <f t="shared" si="12"/>
        <v/>
      </c>
    </row>
    <row r="28" spans="1:69" ht="15.6" x14ac:dyDescent="0.3">
      <c r="A28" s="395"/>
      <c r="B28" s="396"/>
      <c r="C28" s="396"/>
      <c r="D28" s="396"/>
      <c r="E28" s="81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1"/>
      <c r="Z28" s="147"/>
      <c r="AA28" s="140"/>
      <c r="AB28" s="148" t="str">
        <f>+AB25</f>
        <v>-</v>
      </c>
      <c r="AC28" s="140"/>
      <c r="AD28" s="142"/>
      <c r="AE28" s="143"/>
      <c r="AF28" s="143"/>
      <c r="AG28" s="144"/>
      <c r="AH28" s="145"/>
      <c r="AI28" s="145"/>
      <c r="AJ28" s="342"/>
      <c r="AK28" s="343"/>
      <c r="AL28" s="346"/>
      <c r="AM28" s="347"/>
      <c r="AN28" s="146"/>
      <c r="AO28" s="101" t="str">
        <f t="shared" si="19"/>
        <v/>
      </c>
      <c r="AP28" s="113" t="str">
        <f t="shared" si="20"/>
        <v>-</v>
      </c>
      <c r="AQ28" s="119"/>
      <c r="AR28" s="103" t="str">
        <f t="shared" si="21"/>
        <v/>
      </c>
      <c r="AY28" s="38" t="str">
        <f t="shared" si="1"/>
        <v/>
      </c>
      <c r="AZ28" s="38" t="str">
        <f t="shared" si="2"/>
        <v>0</v>
      </c>
      <c r="BA28" s="38" t="str">
        <f t="shared" si="3"/>
        <v>0</v>
      </c>
      <c r="BB28" s="38" t="str">
        <f t="shared" si="4"/>
        <v>0</v>
      </c>
      <c r="BC28" s="38">
        <f t="shared" si="5"/>
        <v>0</v>
      </c>
      <c r="BD28" s="38">
        <f t="shared" si="6"/>
        <v>0</v>
      </c>
      <c r="BL28" s="38" t="str">
        <f t="shared" si="7"/>
        <v/>
      </c>
      <c r="BM28" s="38" t="str">
        <f t="shared" si="8"/>
        <v/>
      </c>
      <c r="BN28" s="38" t="str">
        <f t="shared" si="9"/>
        <v/>
      </c>
      <c r="BO28" s="38" t="str">
        <f t="shared" si="10"/>
        <v/>
      </c>
      <c r="BP28" s="38" t="str">
        <f t="shared" si="11"/>
        <v/>
      </c>
      <c r="BQ28" s="38" t="str">
        <f t="shared" si="12"/>
        <v/>
      </c>
    </row>
    <row r="29" spans="1:69" ht="15.6" x14ac:dyDescent="0.3">
      <c r="A29" s="86" t="s">
        <v>0</v>
      </c>
      <c r="B29" s="87" t="s">
        <v>1</v>
      </c>
      <c r="C29" s="64"/>
      <c r="D29" s="89"/>
      <c r="E29" s="88" t="s">
        <v>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90"/>
      <c r="V29" s="91" t="s">
        <v>3</v>
      </c>
      <c r="W29" s="91" t="s">
        <v>4</v>
      </c>
      <c r="X29" s="91" t="s">
        <v>5</v>
      </c>
      <c r="Y29" s="92" t="s">
        <v>6</v>
      </c>
      <c r="Z29" s="111"/>
      <c r="AA29" s="149"/>
      <c r="AB29" s="150" t="str">
        <f t="shared" si="16"/>
        <v>-</v>
      </c>
      <c r="AC29" s="149"/>
      <c r="AD29" s="151"/>
      <c r="AE29" s="152"/>
      <c r="AF29" s="152"/>
      <c r="AG29" s="153"/>
      <c r="AH29" s="154"/>
      <c r="AI29" s="154"/>
      <c r="AJ29" s="342"/>
      <c r="AK29" s="343"/>
      <c r="AL29" s="348"/>
      <c r="AM29" s="349"/>
      <c r="AN29" s="155"/>
      <c r="AO29" s="101" t="str">
        <f t="shared" si="19"/>
        <v/>
      </c>
      <c r="AP29" s="113" t="str">
        <f t="shared" si="20"/>
        <v>-</v>
      </c>
      <c r="AQ29" s="119"/>
      <c r="AR29" s="103" t="str">
        <f t="shared" si="21"/>
        <v/>
      </c>
      <c r="AY29" s="38" t="str">
        <f t="shared" si="1"/>
        <v/>
      </c>
      <c r="AZ29" s="38" t="str">
        <f t="shared" si="2"/>
        <v>0</v>
      </c>
      <c r="BA29" s="38" t="str">
        <f t="shared" si="3"/>
        <v>0</v>
      </c>
      <c r="BB29" s="38" t="str">
        <f t="shared" si="4"/>
        <v>0</v>
      </c>
      <c r="BC29" s="38">
        <f t="shared" si="5"/>
        <v>0</v>
      </c>
      <c r="BD29" s="38">
        <f t="shared" si="6"/>
        <v>0</v>
      </c>
      <c r="BL29" s="38" t="str">
        <f t="shared" si="7"/>
        <v/>
      </c>
      <c r="BM29" s="38" t="str">
        <f t="shared" si="8"/>
        <v/>
      </c>
      <c r="BN29" s="38" t="str">
        <f t="shared" si="9"/>
        <v/>
      </c>
      <c r="BO29" s="38" t="str">
        <f t="shared" si="10"/>
        <v/>
      </c>
      <c r="BP29" s="38" t="str">
        <f t="shared" si="11"/>
        <v/>
      </c>
      <c r="BQ29" s="38" t="str">
        <f t="shared" si="12"/>
        <v/>
      </c>
    </row>
    <row r="30" spans="1:69" ht="15.6" x14ac:dyDescent="0.3">
      <c r="A30" s="104" t="s">
        <v>265</v>
      </c>
      <c r="B30" s="397">
        <f>IF(ISBLANK(HLOOKUP($F$25,spelerslijsten!$B$1:$J$22,4,FALSE)),"",HLOOKUP($F$25,spelerslijsten!$B$1:$J$22,4,FALSE))</f>
        <v>2</v>
      </c>
      <c r="C30" s="398"/>
      <c r="D30" s="105"/>
      <c r="E30" s="106" t="str">
        <f>IF(ISBLANK(HLOOKUP($F$25,spelerslijsten!$B$1:$J$22,3,FALSE)),"",HLOOKUP($F$25,spelerslijsten!$B$1:$J$22,3,FALSE))</f>
        <v>Yevgeni Petrov</v>
      </c>
      <c r="F30" s="105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8">
        <f t="shared" ref="V30:V39" si="23">SUMIF($AY$13:$AY$46,AT30,$BC$13:$BC$46)</f>
        <v>0</v>
      </c>
      <c r="W30" s="109" t="str">
        <f>IF(AU30&gt;0,"x","")</f>
        <v/>
      </c>
      <c r="X30" s="110" t="str">
        <f>IF(AU30&gt;1,"x","")</f>
        <v/>
      </c>
      <c r="Y30" s="103" t="str">
        <f>IF(AU30&gt;2,"x","")</f>
        <v/>
      </c>
      <c r="Z30" s="111"/>
      <c r="AA30" s="112"/>
      <c r="AB30" s="113" t="str">
        <f t="shared" si="16"/>
        <v>-</v>
      </c>
      <c r="AC30" s="112"/>
      <c r="AD30" s="114"/>
      <c r="AE30" s="115"/>
      <c r="AF30" s="115"/>
      <c r="AG30" s="116"/>
      <c r="AH30" s="117"/>
      <c r="AI30" s="117"/>
      <c r="AJ30" s="342"/>
      <c r="AK30" s="343"/>
      <c r="AL30" s="346"/>
      <c r="AM30" s="347"/>
      <c r="AN30" s="118"/>
      <c r="AO30" s="101" t="str">
        <f t="shared" si="19"/>
        <v/>
      </c>
      <c r="AP30" s="113" t="str">
        <f t="shared" si="20"/>
        <v>-</v>
      </c>
      <c r="AQ30" s="119"/>
      <c r="AR30" s="103" t="str">
        <f t="shared" si="21"/>
        <v/>
      </c>
      <c r="AT30" s="38" t="str">
        <f>CONCATENATE($AV$11&amp;B30)</f>
        <v>B2</v>
      </c>
      <c r="AU30" s="38">
        <f t="shared" si="18"/>
        <v>0</v>
      </c>
      <c r="AY30" s="38" t="str">
        <f t="shared" si="1"/>
        <v/>
      </c>
      <c r="AZ30" s="38" t="str">
        <f t="shared" si="2"/>
        <v>0</v>
      </c>
      <c r="BA30" s="38" t="str">
        <f t="shared" si="3"/>
        <v>0</v>
      </c>
      <c r="BB30" s="38" t="str">
        <f t="shared" si="4"/>
        <v>0</v>
      </c>
      <c r="BC30" s="38">
        <f t="shared" si="5"/>
        <v>0</v>
      </c>
      <c r="BD30" s="38">
        <f t="shared" si="6"/>
        <v>0</v>
      </c>
      <c r="BL30" s="38" t="str">
        <f t="shared" si="7"/>
        <v/>
      </c>
      <c r="BM30" s="38" t="str">
        <f t="shared" si="8"/>
        <v/>
      </c>
      <c r="BN30" s="38" t="str">
        <f t="shared" si="9"/>
        <v/>
      </c>
      <c r="BO30" s="38" t="str">
        <f t="shared" si="10"/>
        <v/>
      </c>
      <c r="BP30" s="38" t="str">
        <f t="shared" si="11"/>
        <v/>
      </c>
      <c r="BQ30" s="38" t="str">
        <f t="shared" si="12"/>
        <v/>
      </c>
    </row>
    <row r="31" spans="1:69" ht="15.6" x14ac:dyDescent="0.3">
      <c r="A31" s="120" t="s">
        <v>265</v>
      </c>
      <c r="B31" s="397">
        <f>IF(ISBLANK(HLOOKUP($F$25,spelerslijsten!$B$1:$J$22,6,FALSE)),"",HLOOKUP($F$25,spelerslijsten!$B$1:$J$22,6,FALSE))</f>
        <v>3</v>
      </c>
      <c r="C31" s="398"/>
      <c r="D31" s="121"/>
      <c r="E31" s="122" t="str">
        <f>IF(ISBLANK(HLOOKUP($F$25,spelerslijsten!$B$1:$J$22,5,FALSE)),"",HLOOKUP($F$25,spelerslijsten!$B$1:$J$22,5,FALSE))</f>
        <v>Monique Bijker</v>
      </c>
      <c r="F31" s="12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08">
        <f t="shared" si="23"/>
        <v>0</v>
      </c>
      <c r="W31" s="109" t="str">
        <f t="shared" ref="W31:W39" si="24">IF(AU31&gt;0,"x","")</f>
        <v/>
      </c>
      <c r="X31" s="110" t="str">
        <f t="shared" ref="X31:X39" si="25">IF(AU31&gt;1,"x","")</f>
        <v/>
      </c>
      <c r="Y31" s="103" t="str">
        <f t="shared" ref="Y31:Y39" si="26">IF(AU31&gt;2,"x","")</f>
        <v/>
      </c>
      <c r="Z31" s="111"/>
      <c r="AA31" s="112"/>
      <c r="AB31" s="113" t="str">
        <f t="shared" si="16"/>
        <v>-</v>
      </c>
      <c r="AC31" s="112"/>
      <c r="AD31" s="114"/>
      <c r="AE31" s="115"/>
      <c r="AF31" s="115"/>
      <c r="AG31" s="116"/>
      <c r="AH31" s="117"/>
      <c r="AI31" s="117"/>
      <c r="AJ31" s="342"/>
      <c r="AK31" s="343"/>
      <c r="AL31" s="346"/>
      <c r="AM31" s="347"/>
      <c r="AN31" s="118"/>
      <c r="AO31" s="101" t="str">
        <f t="shared" si="19"/>
        <v/>
      </c>
      <c r="AP31" s="113" t="str">
        <f t="shared" si="20"/>
        <v>-</v>
      </c>
      <c r="AQ31" s="119"/>
      <c r="AR31" s="103" t="str">
        <f t="shared" si="21"/>
        <v/>
      </c>
      <c r="AT31" s="38" t="str">
        <f t="shared" ref="AT31:AT39" si="27">CONCATENATE($AV$11&amp;B31)</f>
        <v>B3</v>
      </c>
      <c r="AU31" s="38">
        <f t="shared" si="18"/>
        <v>0</v>
      </c>
      <c r="AY31" s="38" t="str">
        <f t="shared" si="1"/>
        <v/>
      </c>
      <c r="AZ31" s="38" t="str">
        <f t="shared" si="2"/>
        <v>0</v>
      </c>
      <c r="BA31" s="38" t="str">
        <f t="shared" si="3"/>
        <v>0</v>
      </c>
      <c r="BB31" s="38" t="str">
        <f t="shared" si="4"/>
        <v>0</v>
      </c>
      <c r="BC31" s="38">
        <f t="shared" si="5"/>
        <v>0</v>
      </c>
      <c r="BD31" s="38">
        <f t="shared" si="6"/>
        <v>0</v>
      </c>
      <c r="BL31" s="38" t="str">
        <f t="shared" si="7"/>
        <v/>
      </c>
      <c r="BM31" s="38" t="str">
        <f t="shared" si="8"/>
        <v/>
      </c>
      <c r="BN31" s="38" t="str">
        <f t="shared" si="9"/>
        <v/>
      </c>
      <c r="BO31" s="38" t="str">
        <f t="shared" si="10"/>
        <v/>
      </c>
      <c r="BP31" s="38" t="str">
        <f t="shared" si="11"/>
        <v/>
      </c>
      <c r="BQ31" s="38" t="str">
        <f t="shared" si="12"/>
        <v/>
      </c>
    </row>
    <row r="32" spans="1:69" ht="15.6" x14ac:dyDescent="0.3">
      <c r="A32" s="124" t="s">
        <v>265</v>
      </c>
      <c r="B32" s="397">
        <f>IF(ISBLANK(HLOOKUP($F$25,spelerslijsten!$B$1:$J$22,8,FALSE)),"",HLOOKUP($F$25,spelerslijsten!$B$1:$J$22,8,FALSE))</f>
        <v>4</v>
      </c>
      <c r="C32" s="398"/>
      <c r="D32" s="121"/>
      <c r="E32" s="122" t="str">
        <f>IF(ISBLANK(HLOOKUP($F$25,spelerslijsten!$B$1:$J$22,7,FALSE)),"",HLOOKUP($F$25,spelerslijsten!$B$1:$J$22,7,FALSE))</f>
        <v>Leon Bijker</v>
      </c>
      <c r="F32" s="12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08">
        <f t="shared" si="23"/>
        <v>2</v>
      </c>
      <c r="W32" s="109" t="str">
        <f t="shared" si="24"/>
        <v/>
      </c>
      <c r="X32" s="110" t="str">
        <f t="shared" si="25"/>
        <v/>
      </c>
      <c r="Y32" s="103" t="str">
        <f t="shared" si="26"/>
        <v/>
      </c>
      <c r="Z32" s="111"/>
      <c r="AA32" s="112"/>
      <c r="AB32" s="113" t="str">
        <f t="shared" si="16"/>
        <v>-</v>
      </c>
      <c r="AC32" s="112"/>
      <c r="AD32" s="114"/>
      <c r="AE32" s="115"/>
      <c r="AF32" s="115"/>
      <c r="AG32" s="116"/>
      <c r="AH32" s="117"/>
      <c r="AI32" s="117"/>
      <c r="AJ32" s="342"/>
      <c r="AK32" s="343"/>
      <c r="AL32" s="346"/>
      <c r="AM32" s="347"/>
      <c r="AN32" s="118"/>
      <c r="AO32" s="101" t="str">
        <f t="shared" si="19"/>
        <v/>
      </c>
      <c r="AP32" s="113" t="str">
        <f t="shared" si="20"/>
        <v>-</v>
      </c>
      <c r="AQ32" s="119"/>
      <c r="AR32" s="103" t="str">
        <f t="shared" si="21"/>
        <v/>
      </c>
      <c r="AT32" s="38" t="str">
        <f t="shared" si="27"/>
        <v>B4</v>
      </c>
      <c r="AU32" s="38">
        <f t="shared" si="18"/>
        <v>0</v>
      </c>
      <c r="AY32" s="38" t="str">
        <f t="shared" si="1"/>
        <v/>
      </c>
      <c r="AZ32" s="38" t="str">
        <f t="shared" si="2"/>
        <v>0</v>
      </c>
      <c r="BA32" s="38" t="str">
        <f t="shared" si="3"/>
        <v>0</v>
      </c>
      <c r="BB32" s="38" t="str">
        <f t="shared" si="4"/>
        <v>0</v>
      </c>
      <c r="BC32" s="38">
        <f t="shared" si="5"/>
        <v>0</v>
      </c>
      <c r="BD32" s="38">
        <f t="shared" si="6"/>
        <v>0</v>
      </c>
      <c r="BL32" s="38" t="str">
        <f t="shared" si="7"/>
        <v/>
      </c>
      <c r="BM32" s="38" t="str">
        <f t="shared" si="8"/>
        <v/>
      </c>
      <c r="BN32" s="38" t="str">
        <f t="shared" si="9"/>
        <v/>
      </c>
      <c r="BO32" s="38" t="str">
        <f t="shared" si="10"/>
        <v/>
      </c>
      <c r="BP32" s="38" t="str">
        <f t="shared" si="11"/>
        <v/>
      </c>
      <c r="BQ32" s="38" t="str">
        <f t="shared" si="12"/>
        <v/>
      </c>
    </row>
    <row r="33" spans="1:69" ht="15.6" x14ac:dyDescent="0.3">
      <c r="A33" s="124" t="s">
        <v>265</v>
      </c>
      <c r="B33" s="397">
        <f>IF(ISBLANK(HLOOKUP($F$25,spelerslijsten!$B$1:$J$22,10,FALSE)),"",HLOOKUP($F$25,spelerslijsten!$B$1:$J$22,10,FALSE))</f>
        <v>5</v>
      </c>
      <c r="C33" s="398"/>
      <c r="D33" s="121"/>
      <c r="E33" s="122" t="str">
        <f>IF(ISBLANK(HLOOKUP($F$25,spelerslijsten!$B$1:$J$22,9,FALSE)),"",HLOOKUP($F$25,spelerslijsten!$B$1:$J$22,9,FALSE))</f>
        <v>Noah Hazelhoff</v>
      </c>
      <c r="F33" s="12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08">
        <f t="shared" si="23"/>
        <v>1</v>
      </c>
      <c r="W33" s="109" t="str">
        <f t="shared" si="24"/>
        <v/>
      </c>
      <c r="X33" s="110" t="str">
        <f t="shared" si="25"/>
        <v/>
      </c>
      <c r="Y33" s="103" t="str">
        <f t="shared" si="26"/>
        <v/>
      </c>
      <c r="Z33" s="111"/>
      <c r="AA33" s="112"/>
      <c r="AB33" s="113" t="str">
        <f t="shared" si="16"/>
        <v>-</v>
      </c>
      <c r="AC33" s="112"/>
      <c r="AD33" s="114"/>
      <c r="AE33" s="115"/>
      <c r="AF33" s="115"/>
      <c r="AG33" s="116"/>
      <c r="AH33" s="117"/>
      <c r="AI33" s="117"/>
      <c r="AJ33" s="342"/>
      <c r="AK33" s="343"/>
      <c r="AL33" s="346"/>
      <c r="AM33" s="347"/>
      <c r="AN33" s="118"/>
      <c r="AO33" s="101" t="str">
        <f t="shared" si="19"/>
        <v/>
      </c>
      <c r="AP33" s="113" t="str">
        <f t="shared" si="20"/>
        <v>-</v>
      </c>
      <c r="AQ33" s="119"/>
      <c r="AR33" s="103" t="str">
        <f t="shared" si="21"/>
        <v/>
      </c>
      <c r="AT33" s="38" t="str">
        <f t="shared" si="27"/>
        <v>B5</v>
      </c>
      <c r="AU33" s="38">
        <f t="shared" si="18"/>
        <v>0</v>
      </c>
      <c r="AY33" s="38" t="str">
        <f t="shared" si="1"/>
        <v/>
      </c>
      <c r="AZ33" s="38" t="str">
        <f t="shared" si="2"/>
        <v>0</v>
      </c>
      <c r="BA33" s="38" t="str">
        <f t="shared" si="3"/>
        <v>0</v>
      </c>
      <c r="BB33" s="38" t="str">
        <f t="shared" si="4"/>
        <v>0</v>
      </c>
      <c r="BC33" s="38">
        <f t="shared" si="5"/>
        <v>0</v>
      </c>
      <c r="BD33" s="38">
        <f t="shared" si="6"/>
        <v>0</v>
      </c>
      <c r="BL33" s="38" t="str">
        <f t="shared" si="7"/>
        <v/>
      </c>
      <c r="BM33" s="38" t="str">
        <f t="shared" si="8"/>
        <v/>
      </c>
      <c r="BN33" s="38" t="str">
        <f t="shared" si="9"/>
        <v/>
      </c>
      <c r="BO33" s="38" t="str">
        <f t="shared" si="10"/>
        <v/>
      </c>
      <c r="BP33" s="38" t="str">
        <f t="shared" si="11"/>
        <v/>
      </c>
      <c r="BQ33" s="38" t="str">
        <f t="shared" si="12"/>
        <v/>
      </c>
    </row>
    <row r="34" spans="1:69" ht="15.6" x14ac:dyDescent="0.3">
      <c r="A34" s="124" t="s">
        <v>265</v>
      </c>
      <c r="B34" s="397">
        <f>IF(ISBLANK(HLOOKUP($F$25,spelerslijsten!$B$1:$J$22,12,FALSE)),"",HLOOKUP($F$25,spelerslijsten!$B$1:$J$22,12,FALSE))</f>
        <v>6</v>
      </c>
      <c r="C34" s="398"/>
      <c r="D34" s="121"/>
      <c r="E34" s="122" t="str">
        <f>IF(ISBLANK(HLOOKUP($F$25,spelerslijsten!$B$1:$J$22,11,FALSE)),"",HLOOKUP($F$25,spelerslijsten!$B$1:$J$22,11,FALSE))</f>
        <v>Joran van Achteren</v>
      </c>
      <c r="F34" s="12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08">
        <f t="shared" si="23"/>
        <v>0</v>
      </c>
      <c r="W34" s="109" t="str">
        <f t="shared" si="24"/>
        <v/>
      </c>
      <c r="X34" s="110" t="str">
        <f t="shared" si="25"/>
        <v/>
      </c>
      <c r="Y34" s="103" t="str">
        <f t="shared" si="26"/>
        <v/>
      </c>
      <c r="Z34" s="111"/>
      <c r="AA34" s="112"/>
      <c r="AB34" s="113" t="str">
        <f t="shared" si="16"/>
        <v>-</v>
      </c>
      <c r="AC34" s="112"/>
      <c r="AD34" s="114"/>
      <c r="AE34" s="115"/>
      <c r="AF34" s="115"/>
      <c r="AG34" s="116"/>
      <c r="AH34" s="117"/>
      <c r="AI34" s="117"/>
      <c r="AJ34" s="342"/>
      <c r="AK34" s="343"/>
      <c r="AL34" s="346"/>
      <c r="AM34" s="347"/>
      <c r="AN34" s="118"/>
      <c r="AO34" s="101" t="str">
        <f t="shared" si="19"/>
        <v/>
      </c>
      <c r="AP34" s="113" t="str">
        <f t="shared" si="20"/>
        <v>-</v>
      </c>
      <c r="AQ34" s="119"/>
      <c r="AR34" s="103" t="str">
        <f t="shared" si="21"/>
        <v/>
      </c>
      <c r="AT34" s="38" t="str">
        <f t="shared" si="27"/>
        <v>B6</v>
      </c>
      <c r="AU34" s="38">
        <f t="shared" si="18"/>
        <v>0</v>
      </c>
      <c r="AY34" s="38" t="str">
        <f t="shared" si="1"/>
        <v/>
      </c>
      <c r="AZ34" s="38" t="str">
        <f t="shared" si="2"/>
        <v>0</v>
      </c>
      <c r="BA34" s="38" t="str">
        <f t="shared" si="3"/>
        <v>0</v>
      </c>
      <c r="BB34" s="38" t="str">
        <f t="shared" si="4"/>
        <v>0</v>
      </c>
      <c r="BC34" s="38">
        <f t="shared" si="5"/>
        <v>0</v>
      </c>
      <c r="BD34" s="38">
        <f t="shared" si="6"/>
        <v>0</v>
      </c>
      <c r="BL34" s="38" t="str">
        <f t="shared" si="7"/>
        <v/>
      </c>
      <c r="BM34" s="38" t="str">
        <f t="shared" si="8"/>
        <v/>
      </c>
      <c r="BN34" s="38" t="str">
        <f t="shared" si="9"/>
        <v/>
      </c>
      <c r="BO34" s="38" t="str">
        <f t="shared" si="10"/>
        <v/>
      </c>
      <c r="BP34" s="38" t="str">
        <f t="shared" si="11"/>
        <v/>
      </c>
      <c r="BQ34" s="38" t="str">
        <f t="shared" si="12"/>
        <v/>
      </c>
    </row>
    <row r="35" spans="1:69" ht="15.6" x14ac:dyDescent="0.3">
      <c r="A35" s="124"/>
      <c r="B35" s="397">
        <f>IF(ISBLANK(HLOOKUP($F$25,spelerslijsten!$B$1:$J$22,14,FALSE)),"",HLOOKUP($F$25,spelerslijsten!$B$1:$J$22,14,FALSE))</f>
        <v>7</v>
      </c>
      <c r="C35" s="398"/>
      <c r="D35" s="121"/>
      <c r="E35" s="122" t="str">
        <f>IF(ISBLANK(HLOOKUP($F$25,spelerslijsten!$B$1:$J$22,13,FALSE)),"",HLOOKUP($F$25,spelerslijsten!$B$1:$J$22,13,FALSE))</f>
        <v>Maiker Arends</v>
      </c>
      <c r="F35" s="12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08">
        <f t="shared" si="23"/>
        <v>0</v>
      </c>
      <c r="W35" s="109" t="str">
        <f t="shared" si="24"/>
        <v/>
      </c>
      <c r="X35" s="110" t="str">
        <f t="shared" si="25"/>
        <v/>
      </c>
      <c r="Y35" s="103" t="str">
        <f t="shared" si="26"/>
        <v/>
      </c>
      <c r="Z35" s="111"/>
      <c r="AA35" s="112"/>
      <c r="AB35" s="113" t="str">
        <f t="shared" si="16"/>
        <v>-</v>
      </c>
      <c r="AC35" s="112"/>
      <c r="AD35" s="114"/>
      <c r="AE35" s="115"/>
      <c r="AF35" s="115"/>
      <c r="AG35" s="116"/>
      <c r="AH35" s="117"/>
      <c r="AI35" s="117"/>
      <c r="AJ35" s="342"/>
      <c r="AK35" s="343"/>
      <c r="AL35" s="346"/>
      <c r="AM35" s="347"/>
      <c r="AN35" s="118"/>
      <c r="AO35" s="101" t="str">
        <f t="shared" si="19"/>
        <v/>
      </c>
      <c r="AP35" s="113" t="str">
        <f t="shared" si="20"/>
        <v>-</v>
      </c>
      <c r="AQ35" s="119"/>
      <c r="AR35" s="103" t="str">
        <f t="shared" si="21"/>
        <v/>
      </c>
      <c r="AT35" s="38" t="str">
        <f t="shared" si="27"/>
        <v>B7</v>
      </c>
      <c r="AU35" s="38">
        <f t="shared" si="18"/>
        <v>0</v>
      </c>
      <c r="AY35" s="38" t="str">
        <f t="shared" si="1"/>
        <v/>
      </c>
      <c r="AZ35" s="38" t="str">
        <f t="shared" si="2"/>
        <v>0</v>
      </c>
      <c r="BA35" s="38" t="str">
        <f t="shared" si="3"/>
        <v>0</v>
      </c>
      <c r="BB35" s="38" t="str">
        <f t="shared" si="4"/>
        <v>0</v>
      </c>
      <c r="BC35" s="38">
        <f t="shared" si="5"/>
        <v>0</v>
      </c>
      <c r="BD35" s="38">
        <f t="shared" si="6"/>
        <v>0</v>
      </c>
      <c r="BL35" s="38" t="str">
        <f t="shared" si="7"/>
        <v/>
      </c>
      <c r="BM35" s="38" t="str">
        <f t="shared" si="8"/>
        <v/>
      </c>
      <c r="BN35" s="38" t="str">
        <f t="shared" si="9"/>
        <v/>
      </c>
      <c r="BO35" s="38" t="str">
        <f t="shared" si="10"/>
        <v/>
      </c>
      <c r="BP35" s="38" t="str">
        <f t="shared" si="11"/>
        <v/>
      </c>
      <c r="BQ35" s="38" t="str">
        <f t="shared" si="12"/>
        <v/>
      </c>
    </row>
    <row r="36" spans="1:69" ht="15.6" x14ac:dyDescent="0.3">
      <c r="A36" s="124"/>
      <c r="B36" s="397">
        <f>IF(ISBLANK(HLOOKUP($F$25,spelerslijsten!$B$1:$J$22,16,FALSE)),"",HLOOKUP($F$25,spelerslijsten!$B$1:$J$22,16,FALSE))</f>
        <v>9</v>
      </c>
      <c r="C36" s="398"/>
      <c r="D36" s="121"/>
      <c r="E36" s="122" t="str">
        <f>IF(ISBLANK(HLOOKUP($F$25,spelerslijsten!$B$1:$J$22,15,FALSE)),"",HLOOKUP($F$25,spelerslijsten!$B$1:$J$22,15,FALSE))</f>
        <v>Wouter van Schip</v>
      </c>
      <c r="F36" s="12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08">
        <f t="shared" si="23"/>
        <v>0</v>
      </c>
      <c r="W36" s="109" t="str">
        <f t="shared" si="24"/>
        <v/>
      </c>
      <c r="X36" s="110" t="str">
        <f t="shared" si="25"/>
        <v/>
      </c>
      <c r="Y36" s="103" t="str">
        <f t="shared" si="26"/>
        <v/>
      </c>
      <c r="Z36" s="111"/>
      <c r="AA36" s="112"/>
      <c r="AB36" s="113" t="str">
        <f t="shared" si="16"/>
        <v>-</v>
      </c>
      <c r="AC36" s="112"/>
      <c r="AD36" s="114"/>
      <c r="AE36" s="115"/>
      <c r="AF36" s="115"/>
      <c r="AG36" s="116"/>
      <c r="AH36" s="117"/>
      <c r="AI36" s="117"/>
      <c r="AJ36" s="342"/>
      <c r="AK36" s="343"/>
      <c r="AL36" s="346"/>
      <c r="AM36" s="347"/>
      <c r="AN36" s="118"/>
      <c r="AO36" s="101" t="str">
        <f t="shared" si="19"/>
        <v/>
      </c>
      <c r="AP36" s="113" t="str">
        <f t="shared" si="20"/>
        <v>-</v>
      </c>
      <c r="AQ36" s="119"/>
      <c r="AR36" s="103" t="str">
        <f t="shared" si="21"/>
        <v/>
      </c>
      <c r="AT36" s="38" t="str">
        <f t="shared" si="27"/>
        <v>B9</v>
      </c>
      <c r="AU36" s="38">
        <f t="shared" si="18"/>
        <v>0</v>
      </c>
      <c r="AY36" s="38" t="str">
        <f t="shared" si="1"/>
        <v/>
      </c>
      <c r="AZ36" s="38" t="str">
        <f t="shared" si="2"/>
        <v>0</v>
      </c>
      <c r="BA36" s="38" t="str">
        <f t="shared" si="3"/>
        <v>0</v>
      </c>
      <c r="BB36" s="38" t="str">
        <f t="shared" si="4"/>
        <v>0</v>
      </c>
      <c r="BC36" s="38">
        <f t="shared" si="5"/>
        <v>0</v>
      </c>
      <c r="BD36" s="38">
        <f t="shared" si="6"/>
        <v>0</v>
      </c>
      <c r="BL36" s="38" t="str">
        <f t="shared" si="7"/>
        <v/>
      </c>
      <c r="BM36" s="38" t="str">
        <f t="shared" si="8"/>
        <v/>
      </c>
      <c r="BN36" s="38" t="str">
        <f t="shared" si="9"/>
        <v/>
      </c>
      <c r="BO36" s="38" t="str">
        <f t="shared" si="10"/>
        <v/>
      </c>
      <c r="BP36" s="38" t="str">
        <f t="shared" si="11"/>
        <v/>
      </c>
      <c r="BQ36" s="38" t="str">
        <f t="shared" si="12"/>
        <v/>
      </c>
    </row>
    <row r="37" spans="1:69" ht="15.6" x14ac:dyDescent="0.3">
      <c r="A37" s="124" t="s">
        <v>265</v>
      </c>
      <c r="B37" s="397">
        <f>IF(ISBLANK(HLOOKUP($F$25,spelerslijsten!$B$1:$J$22,18,FALSE)),"",HLOOKUP($F$25,spelerslijsten!$B$1:$J$22,18,FALSE))</f>
        <v>10</v>
      </c>
      <c r="C37" s="398"/>
      <c r="D37" s="121"/>
      <c r="E37" s="122" t="str">
        <f>IF(ISBLANK(HLOOKUP($F$25,spelerslijsten!$B$1:$J$22,17,FALSE)),"",HLOOKUP($F$25,spelerslijsten!$B$1:$J$22,17,FALSE))</f>
        <v>Bianca Verbeek</v>
      </c>
      <c r="F37" s="12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08">
        <f t="shared" si="23"/>
        <v>2</v>
      </c>
      <c r="W37" s="109" t="str">
        <f t="shared" si="24"/>
        <v/>
      </c>
      <c r="X37" s="110" t="str">
        <f t="shared" si="25"/>
        <v/>
      </c>
      <c r="Y37" s="103" t="str">
        <f t="shared" si="26"/>
        <v/>
      </c>
      <c r="Z37" s="111"/>
      <c r="AA37" s="112"/>
      <c r="AB37" s="113" t="str">
        <f t="shared" si="16"/>
        <v>-</v>
      </c>
      <c r="AC37" s="112"/>
      <c r="AD37" s="114"/>
      <c r="AE37" s="115"/>
      <c r="AF37" s="115"/>
      <c r="AG37" s="116"/>
      <c r="AH37" s="117"/>
      <c r="AI37" s="117"/>
      <c r="AJ37" s="342"/>
      <c r="AK37" s="343"/>
      <c r="AL37" s="346"/>
      <c r="AM37" s="347"/>
      <c r="AN37" s="118"/>
      <c r="AO37" s="101" t="str">
        <f t="shared" si="19"/>
        <v/>
      </c>
      <c r="AP37" s="113" t="str">
        <f t="shared" si="20"/>
        <v>-</v>
      </c>
      <c r="AQ37" s="119"/>
      <c r="AR37" s="103" t="str">
        <f t="shared" si="21"/>
        <v/>
      </c>
      <c r="AT37" s="38" t="str">
        <f t="shared" si="27"/>
        <v>B10</v>
      </c>
      <c r="AU37" s="38">
        <f t="shared" si="18"/>
        <v>0</v>
      </c>
      <c r="AY37" s="38" t="str">
        <f t="shared" si="1"/>
        <v/>
      </c>
      <c r="AZ37" s="38" t="str">
        <f t="shared" si="2"/>
        <v>0</v>
      </c>
      <c r="BA37" s="38" t="str">
        <f t="shared" si="3"/>
        <v>0</v>
      </c>
      <c r="BB37" s="38" t="str">
        <f t="shared" si="4"/>
        <v>0</v>
      </c>
      <c r="BC37" s="38">
        <f t="shared" si="5"/>
        <v>0</v>
      </c>
      <c r="BD37" s="38">
        <f t="shared" si="6"/>
        <v>0</v>
      </c>
      <c r="BL37" s="38" t="str">
        <f t="shared" si="7"/>
        <v/>
      </c>
      <c r="BM37" s="38" t="str">
        <f t="shared" si="8"/>
        <v/>
      </c>
      <c r="BN37" s="38" t="str">
        <f t="shared" si="9"/>
        <v/>
      </c>
      <c r="BO37" s="38" t="str">
        <f t="shared" si="10"/>
        <v/>
      </c>
      <c r="BP37" s="38" t="str">
        <f t="shared" si="11"/>
        <v/>
      </c>
      <c r="BQ37" s="38" t="str">
        <f t="shared" si="12"/>
        <v/>
      </c>
    </row>
    <row r="38" spans="1:69" ht="15.6" x14ac:dyDescent="0.3">
      <c r="A38" s="124"/>
      <c r="B38" s="397" t="str">
        <f>IF(ISBLANK(HLOOKUP($F$25,spelerslijsten!$B$1:$J$22,20,FALSE)),"",HLOOKUP($F$25,spelerslijsten!$B$1:$J$22,20,FALSE))</f>
        <v/>
      </c>
      <c r="C38" s="398"/>
      <c r="D38" s="121"/>
      <c r="E38" s="122" t="str">
        <f>IF(ISBLANK(HLOOKUP($F$25,spelerslijsten!$B$1:$J$22,19,FALSE)),"",HLOOKUP($F$25,spelerslijsten!$B$1:$J$22,19,FALSE))</f>
        <v/>
      </c>
      <c r="F38" s="12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08">
        <f t="shared" si="23"/>
        <v>0</v>
      </c>
      <c r="W38" s="109" t="str">
        <f t="shared" si="24"/>
        <v/>
      </c>
      <c r="X38" s="110" t="str">
        <f t="shared" si="25"/>
        <v/>
      </c>
      <c r="Y38" s="103" t="str">
        <f t="shared" si="26"/>
        <v/>
      </c>
      <c r="Z38" s="111"/>
      <c r="AA38" s="112"/>
      <c r="AB38" s="113" t="str">
        <f t="shared" si="16"/>
        <v>-</v>
      </c>
      <c r="AC38" s="112"/>
      <c r="AD38" s="114"/>
      <c r="AE38" s="115"/>
      <c r="AF38" s="115"/>
      <c r="AG38" s="116"/>
      <c r="AH38" s="117"/>
      <c r="AI38" s="117"/>
      <c r="AJ38" s="342"/>
      <c r="AK38" s="343"/>
      <c r="AL38" s="346"/>
      <c r="AM38" s="347"/>
      <c r="AN38" s="118"/>
      <c r="AO38" s="101" t="str">
        <f t="shared" si="19"/>
        <v/>
      </c>
      <c r="AP38" s="113" t="str">
        <f t="shared" si="20"/>
        <v>-</v>
      </c>
      <c r="AQ38" s="119"/>
      <c r="AR38" s="103" t="str">
        <f t="shared" si="21"/>
        <v/>
      </c>
      <c r="AT38" s="38" t="str">
        <f t="shared" si="27"/>
        <v>B</v>
      </c>
      <c r="AU38" s="38">
        <f t="shared" si="18"/>
        <v>0</v>
      </c>
      <c r="AY38" s="38" t="str">
        <f t="shared" si="1"/>
        <v/>
      </c>
      <c r="AZ38" s="38" t="str">
        <f t="shared" si="2"/>
        <v>0</v>
      </c>
      <c r="BA38" s="38" t="str">
        <f t="shared" si="3"/>
        <v>0</v>
      </c>
      <c r="BB38" s="38" t="str">
        <f t="shared" si="4"/>
        <v>0</v>
      </c>
      <c r="BC38" s="38">
        <f t="shared" si="5"/>
        <v>0</v>
      </c>
      <c r="BD38" s="38">
        <f t="shared" si="6"/>
        <v>0</v>
      </c>
      <c r="BL38" s="38" t="str">
        <f t="shared" si="7"/>
        <v/>
      </c>
      <c r="BM38" s="38" t="str">
        <f t="shared" si="8"/>
        <v/>
      </c>
      <c r="BN38" s="38" t="str">
        <f t="shared" si="9"/>
        <v/>
      </c>
      <c r="BO38" s="38" t="str">
        <f t="shared" si="10"/>
        <v/>
      </c>
      <c r="BP38" s="38" t="str">
        <f t="shared" si="11"/>
        <v/>
      </c>
      <c r="BQ38" s="38" t="str">
        <f t="shared" si="12"/>
        <v/>
      </c>
    </row>
    <row r="39" spans="1:69" ht="15.6" x14ac:dyDescent="0.3">
      <c r="A39" s="125"/>
      <c r="B39" s="397" t="str">
        <f>IF(ISBLANK(HLOOKUP($F$25,spelerslijsten!$B$1:$J$22,22,FALSE)),"",HLOOKUP($F$25,spelerslijsten!$B$1:$J$22,22,FALSE))</f>
        <v/>
      </c>
      <c r="C39" s="398"/>
      <c r="D39" s="126"/>
      <c r="E39" s="259" t="str">
        <f>IF(ISBLANK(HLOOKUP($F$25,spelerslijsten!$B$1:$J$22,21,FALSE)),"",HLOOKUP($F$25,spelerslijsten!$B$1:$J$22,21,FALSE))</f>
        <v/>
      </c>
      <c r="F39" s="126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08">
        <f t="shared" si="23"/>
        <v>0</v>
      </c>
      <c r="W39" s="109" t="str">
        <f t="shared" si="24"/>
        <v/>
      </c>
      <c r="X39" s="110" t="str">
        <f t="shared" si="25"/>
        <v/>
      </c>
      <c r="Y39" s="103" t="str">
        <f t="shared" si="26"/>
        <v/>
      </c>
      <c r="Z39" s="111"/>
      <c r="AA39" s="112"/>
      <c r="AB39" s="113" t="str">
        <f t="shared" si="16"/>
        <v>-</v>
      </c>
      <c r="AC39" s="112"/>
      <c r="AD39" s="114"/>
      <c r="AE39" s="115"/>
      <c r="AF39" s="115"/>
      <c r="AG39" s="116"/>
      <c r="AH39" s="117"/>
      <c r="AI39" s="117"/>
      <c r="AJ39" s="342"/>
      <c r="AK39" s="343"/>
      <c r="AL39" s="346"/>
      <c r="AM39" s="347"/>
      <c r="AN39" s="118"/>
      <c r="AO39" s="101" t="str">
        <f t="shared" si="19"/>
        <v/>
      </c>
      <c r="AP39" s="113" t="str">
        <f t="shared" si="20"/>
        <v>-</v>
      </c>
      <c r="AQ39" s="119"/>
      <c r="AR39" s="103" t="str">
        <f t="shared" si="21"/>
        <v/>
      </c>
      <c r="AT39" s="38" t="str">
        <f t="shared" si="27"/>
        <v>B</v>
      </c>
      <c r="AU39" s="38">
        <f t="shared" si="18"/>
        <v>0</v>
      </c>
      <c r="AY39" s="38" t="str">
        <f t="shared" si="1"/>
        <v/>
      </c>
      <c r="AZ39" s="38" t="str">
        <f t="shared" si="2"/>
        <v>0</v>
      </c>
      <c r="BA39" s="38" t="str">
        <f t="shared" si="3"/>
        <v>0</v>
      </c>
      <c r="BB39" s="38" t="str">
        <f t="shared" si="4"/>
        <v>0</v>
      </c>
      <c r="BC39" s="38">
        <f t="shared" si="5"/>
        <v>0</v>
      </c>
      <c r="BD39" s="38">
        <f t="shared" si="6"/>
        <v>0</v>
      </c>
      <c r="BL39" s="38" t="str">
        <f t="shared" si="7"/>
        <v/>
      </c>
      <c r="BM39" s="38" t="str">
        <f t="shared" si="8"/>
        <v/>
      </c>
      <c r="BN39" s="38" t="str">
        <f t="shared" si="9"/>
        <v/>
      </c>
      <c r="BO39" s="38" t="str">
        <f t="shared" si="10"/>
        <v/>
      </c>
      <c r="BP39" s="38" t="str">
        <f t="shared" si="11"/>
        <v/>
      </c>
      <c r="BQ39" s="38" t="str">
        <f t="shared" si="12"/>
        <v/>
      </c>
    </row>
    <row r="40" spans="1:69" ht="16.2" thickBot="1" x14ac:dyDescent="0.35">
      <c r="A40" s="71" t="s">
        <v>67</v>
      </c>
      <c r="B40" s="72"/>
      <c r="C40" s="72"/>
      <c r="D40" s="72"/>
      <c r="E40" s="72"/>
      <c r="F40" s="72"/>
      <c r="G40" s="72"/>
      <c r="H40" s="72"/>
      <c r="I40" s="399">
        <f>HLOOKUP(F25,spelerslijsten!B1:J25,25,FALSE)</f>
        <v>0</v>
      </c>
      <c r="J40" s="400"/>
      <c r="K40" s="74" t="s">
        <v>23</v>
      </c>
      <c r="L40" s="72"/>
      <c r="M40" s="72"/>
      <c r="N40" s="129" t="str">
        <f>HLOOKUP(F25,spelerslijsten!B1:J25,23,FALSE)</f>
        <v>Natascha Magrie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30"/>
      <c r="Z40" s="111"/>
      <c r="AA40" s="112"/>
      <c r="AB40" s="113" t="str">
        <f t="shared" si="16"/>
        <v>-</v>
      </c>
      <c r="AC40" s="112"/>
      <c r="AD40" s="114"/>
      <c r="AE40" s="115"/>
      <c r="AF40" s="115"/>
      <c r="AG40" s="116"/>
      <c r="AH40" s="117"/>
      <c r="AI40" s="117"/>
      <c r="AJ40" s="342"/>
      <c r="AK40" s="343"/>
      <c r="AL40" s="346"/>
      <c r="AM40" s="347"/>
      <c r="AN40" s="118"/>
      <c r="AO40" s="101" t="str">
        <f t="shared" si="19"/>
        <v/>
      </c>
      <c r="AP40" s="113" t="str">
        <f t="shared" si="20"/>
        <v>-</v>
      </c>
      <c r="AQ40" s="119"/>
      <c r="AR40" s="103" t="str">
        <f t="shared" si="21"/>
        <v/>
      </c>
      <c r="AY40" s="38" t="str">
        <f t="shared" si="1"/>
        <v/>
      </c>
      <c r="AZ40" s="38" t="str">
        <f t="shared" si="2"/>
        <v>0</v>
      </c>
      <c r="BA40" s="38" t="str">
        <f t="shared" si="3"/>
        <v>0</v>
      </c>
      <c r="BB40" s="38" t="str">
        <f t="shared" si="4"/>
        <v>0</v>
      </c>
      <c r="BC40" s="38">
        <f t="shared" si="5"/>
        <v>0</v>
      </c>
      <c r="BD40" s="38">
        <f t="shared" si="6"/>
        <v>0</v>
      </c>
      <c r="BL40" s="38" t="str">
        <f t="shared" si="7"/>
        <v/>
      </c>
      <c r="BM40" s="38" t="str">
        <f t="shared" si="8"/>
        <v/>
      </c>
      <c r="BN40" s="38" t="str">
        <f t="shared" si="9"/>
        <v/>
      </c>
      <c r="BO40" s="38" t="str">
        <f t="shared" si="10"/>
        <v/>
      </c>
      <c r="BP40" s="38" t="str">
        <f t="shared" si="11"/>
        <v/>
      </c>
      <c r="BQ40" s="38" t="str">
        <f t="shared" si="12"/>
        <v/>
      </c>
    </row>
    <row r="41" spans="1:69" ht="15.6" x14ac:dyDescent="0.3">
      <c r="A41" s="157" t="s">
        <v>68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158"/>
      <c r="Z41" s="111"/>
      <c r="AA41" s="112"/>
      <c r="AB41" s="113" t="str">
        <f t="shared" si="16"/>
        <v>-</v>
      </c>
      <c r="AC41" s="112"/>
      <c r="AD41" s="114"/>
      <c r="AE41" s="115"/>
      <c r="AF41" s="115"/>
      <c r="AG41" s="116"/>
      <c r="AH41" s="117"/>
      <c r="AI41" s="117"/>
      <c r="AJ41" s="342"/>
      <c r="AK41" s="343"/>
      <c r="AL41" s="346"/>
      <c r="AM41" s="347"/>
      <c r="AN41" s="118"/>
      <c r="AO41" s="101" t="str">
        <f t="shared" si="19"/>
        <v/>
      </c>
      <c r="AP41" s="113" t="str">
        <f t="shared" si="20"/>
        <v>-</v>
      </c>
      <c r="AQ41" s="119"/>
      <c r="AR41" s="103" t="str">
        <f t="shared" si="21"/>
        <v/>
      </c>
      <c r="AY41" s="38" t="str">
        <f t="shared" si="1"/>
        <v/>
      </c>
      <c r="AZ41" s="38" t="str">
        <f t="shared" si="2"/>
        <v>0</v>
      </c>
      <c r="BA41" s="38" t="str">
        <f t="shared" si="3"/>
        <v>0</v>
      </c>
      <c r="BB41" s="38" t="str">
        <f t="shared" si="4"/>
        <v>0</v>
      </c>
      <c r="BC41" s="38">
        <f t="shared" si="5"/>
        <v>0</v>
      </c>
      <c r="BD41" s="38">
        <f t="shared" si="6"/>
        <v>0</v>
      </c>
      <c r="BL41" s="38" t="str">
        <f t="shared" si="7"/>
        <v/>
      </c>
      <c r="BM41" s="38" t="str">
        <f t="shared" si="8"/>
        <v/>
      </c>
      <c r="BN41" s="38" t="str">
        <f t="shared" si="9"/>
        <v/>
      </c>
      <c r="BO41" s="38" t="str">
        <f t="shared" si="10"/>
        <v/>
      </c>
      <c r="BP41" s="38" t="str">
        <f t="shared" si="11"/>
        <v/>
      </c>
      <c r="BQ41" s="38" t="str">
        <f t="shared" si="12"/>
        <v/>
      </c>
    </row>
    <row r="42" spans="1:69" ht="15.6" x14ac:dyDescent="0.3">
      <c r="A42" s="15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60"/>
      <c r="Z42" s="111"/>
      <c r="AA42" s="112"/>
      <c r="AB42" s="113" t="str">
        <f t="shared" si="16"/>
        <v>-</v>
      </c>
      <c r="AC42" s="112"/>
      <c r="AD42" s="114"/>
      <c r="AE42" s="115"/>
      <c r="AF42" s="115"/>
      <c r="AG42" s="116"/>
      <c r="AH42" s="117"/>
      <c r="AI42" s="117"/>
      <c r="AJ42" s="342"/>
      <c r="AK42" s="343"/>
      <c r="AL42" s="346"/>
      <c r="AM42" s="347"/>
      <c r="AN42" s="118"/>
      <c r="AO42" s="101" t="str">
        <f t="shared" si="19"/>
        <v/>
      </c>
      <c r="AP42" s="113" t="str">
        <f t="shared" si="20"/>
        <v>-</v>
      </c>
      <c r="AQ42" s="119"/>
      <c r="AR42" s="103" t="str">
        <f t="shared" si="21"/>
        <v/>
      </c>
      <c r="AY42" s="38" t="str">
        <f t="shared" si="1"/>
        <v/>
      </c>
      <c r="AZ42" s="38" t="str">
        <f t="shared" si="2"/>
        <v>0</v>
      </c>
      <c r="BA42" s="38" t="str">
        <f t="shared" si="3"/>
        <v>0</v>
      </c>
      <c r="BB42" s="38" t="str">
        <f t="shared" si="4"/>
        <v>0</v>
      </c>
      <c r="BC42" s="38">
        <f t="shared" si="5"/>
        <v>0</v>
      </c>
      <c r="BD42" s="38">
        <f t="shared" si="6"/>
        <v>0</v>
      </c>
      <c r="BL42" s="38" t="str">
        <f t="shared" si="7"/>
        <v/>
      </c>
      <c r="BM42" s="38" t="str">
        <f t="shared" si="8"/>
        <v/>
      </c>
      <c r="BN42" s="38" t="str">
        <f t="shared" si="9"/>
        <v/>
      </c>
      <c r="BO42" s="38" t="str">
        <f t="shared" si="10"/>
        <v/>
      </c>
      <c r="BP42" s="38" t="str">
        <f t="shared" si="11"/>
        <v/>
      </c>
      <c r="BQ42" s="38" t="str">
        <f t="shared" si="12"/>
        <v/>
      </c>
    </row>
    <row r="43" spans="1:69" ht="15.6" x14ac:dyDescent="0.3">
      <c r="A43" s="16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62"/>
      <c r="Z43" s="111"/>
      <c r="AA43" s="112"/>
      <c r="AB43" s="113" t="str">
        <f t="shared" si="16"/>
        <v>-</v>
      </c>
      <c r="AC43" s="112"/>
      <c r="AD43" s="114"/>
      <c r="AE43" s="115"/>
      <c r="AF43" s="115"/>
      <c r="AG43" s="116"/>
      <c r="AH43" s="117"/>
      <c r="AI43" s="117"/>
      <c r="AJ43" s="342"/>
      <c r="AK43" s="343"/>
      <c r="AL43" s="346"/>
      <c r="AM43" s="347"/>
      <c r="AN43" s="118"/>
      <c r="AO43" s="101" t="str">
        <f t="shared" si="19"/>
        <v/>
      </c>
      <c r="AP43" s="113" t="str">
        <f t="shared" si="20"/>
        <v>-</v>
      </c>
      <c r="AQ43" s="119"/>
      <c r="AR43" s="103" t="str">
        <f t="shared" si="21"/>
        <v/>
      </c>
      <c r="AY43" s="38" t="str">
        <f t="shared" si="1"/>
        <v/>
      </c>
      <c r="AZ43" s="38" t="str">
        <f t="shared" si="2"/>
        <v>0</v>
      </c>
      <c r="BA43" s="38" t="str">
        <f t="shared" si="3"/>
        <v>0</v>
      </c>
      <c r="BB43" s="38" t="str">
        <f t="shared" si="4"/>
        <v>0</v>
      </c>
      <c r="BC43" s="38">
        <f t="shared" si="5"/>
        <v>0</v>
      </c>
      <c r="BD43" s="38">
        <f t="shared" si="6"/>
        <v>0</v>
      </c>
      <c r="BL43" s="38" t="str">
        <f t="shared" si="7"/>
        <v/>
      </c>
      <c r="BM43" s="38" t="str">
        <f t="shared" si="8"/>
        <v/>
      </c>
      <c r="BN43" s="38" t="str">
        <f t="shared" si="9"/>
        <v/>
      </c>
      <c r="BO43" s="38" t="str">
        <f t="shared" si="10"/>
        <v/>
      </c>
      <c r="BP43" s="38" t="str">
        <f t="shared" si="11"/>
        <v/>
      </c>
      <c r="BQ43" s="38" t="str">
        <f t="shared" si="12"/>
        <v/>
      </c>
    </row>
    <row r="44" spans="1:69" ht="15.6" x14ac:dyDescent="0.3">
      <c r="A44" s="16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62"/>
      <c r="Z44" s="111"/>
      <c r="AA44" s="112"/>
      <c r="AB44" s="113" t="str">
        <f t="shared" si="16"/>
        <v>-</v>
      </c>
      <c r="AC44" s="112"/>
      <c r="AD44" s="114"/>
      <c r="AE44" s="115"/>
      <c r="AF44" s="115"/>
      <c r="AG44" s="116"/>
      <c r="AH44" s="117"/>
      <c r="AI44" s="117"/>
      <c r="AJ44" s="342"/>
      <c r="AK44" s="343"/>
      <c r="AL44" s="346"/>
      <c r="AM44" s="347"/>
      <c r="AN44" s="118"/>
      <c r="AO44" s="101" t="str">
        <f t="shared" si="19"/>
        <v/>
      </c>
      <c r="AP44" s="113" t="str">
        <f t="shared" si="20"/>
        <v>-</v>
      </c>
      <c r="AQ44" s="119"/>
      <c r="AR44" s="103" t="str">
        <f t="shared" si="21"/>
        <v/>
      </c>
      <c r="AY44" s="38" t="str">
        <f t="shared" si="1"/>
        <v/>
      </c>
      <c r="AZ44" s="38" t="str">
        <f t="shared" si="2"/>
        <v>0</v>
      </c>
      <c r="BA44" s="38" t="str">
        <f t="shared" si="3"/>
        <v>0</v>
      </c>
      <c r="BB44" s="38" t="str">
        <f t="shared" si="4"/>
        <v>0</v>
      </c>
      <c r="BC44" s="38">
        <f t="shared" si="5"/>
        <v>0</v>
      </c>
      <c r="BD44" s="38">
        <f t="shared" si="6"/>
        <v>0</v>
      </c>
      <c r="BL44" s="38" t="str">
        <f t="shared" si="7"/>
        <v/>
      </c>
      <c r="BM44" s="38" t="str">
        <f t="shared" si="8"/>
        <v/>
      </c>
      <c r="BN44" s="38" t="str">
        <f t="shared" si="9"/>
        <v/>
      </c>
      <c r="BO44" s="38" t="str">
        <f t="shared" si="10"/>
        <v/>
      </c>
      <c r="BP44" s="38" t="str">
        <f t="shared" si="11"/>
        <v/>
      </c>
      <c r="BQ44" s="38" t="str">
        <f t="shared" si="12"/>
        <v/>
      </c>
    </row>
    <row r="45" spans="1:69" ht="15.6" x14ac:dyDescent="0.3">
      <c r="A45" s="16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62"/>
      <c r="Z45" s="111"/>
      <c r="AA45" s="112"/>
      <c r="AB45" s="113" t="str">
        <f>+AB44</f>
        <v>-</v>
      </c>
      <c r="AC45" s="112"/>
      <c r="AD45" s="114"/>
      <c r="AE45" s="115"/>
      <c r="AF45" s="115"/>
      <c r="AG45" s="116"/>
      <c r="AH45" s="117"/>
      <c r="AI45" s="117"/>
      <c r="AJ45" s="342"/>
      <c r="AK45" s="343"/>
      <c r="AL45" s="346"/>
      <c r="AM45" s="347"/>
      <c r="AN45" s="118"/>
      <c r="AO45" s="101" t="str">
        <f t="shared" si="19"/>
        <v/>
      </c>
      <c r="AP45" s="113" t="str">
        <f t="shared" si="20"/>
        <v>-</v>
      </c>
      <c r="AQ45" s="119"/>
      <c r="AR45" s="103" t="str">
        <f t="shared" si="21"/>
        <v/>
      </c>
      <c r="AY45" s="38" t="str">
        <f t="shared" si="1"/>
        <v/>
      </c>
      <c r="AZ45" s="38" t="str">
        <f t="shared" si="2"/>
        <v>0</v>
      </c>
      <c r="BA45" s="38" t="str">
        <f t="shared" si="3"/>
        <v>0</v>
      </c>
      <c r="BB45" s="38" t="str">
        <f t="shared" si="4"/>
        <v>0</v>
      </c>
      <c r="BC45" s="38">
        <f t="shared" si="5"/>
        <v>0</v>
      </c>
      <c r="BD45" s="38">
        <f t="shared" si="6"/>
        <v>0</v>
      </c>
      <c r="BL45" s="38" t="str">
        <f t="shared" si="7"/>
        <v/>
      </c>
      <c r="BM45" s="38" t="str">
        <f t="shared" si="8"/>
        <v/>
      </c>
      <c r="BN45" s="38" t="str">
        <f t="shared" si="9"/>
        <v/>
      </c>
      <c r="BO45" s="38" t="str">
        <f t="shared" si="10"/>
        <v/>
      </c>
      <c r="BP45" s="38" t="str">
        <f t="shared" si="11"/>
        <v/>
      </c>
      <c r="BQ45" s="38" t="str">
        <f t="shared" si="12"/>
        <v/>
      </c>
    </row>
    <row r="46" spans="1:69" ht="16.2" thickBot="1" x14ac:dyDescent="0.35">
      <c r="A46" s="163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64"/>
      <c r="Z46" s="165"/>
      <c r="AA46" s="166"/>
      <c r="AB46" s="167" t="str">
        <f>+AB45</f>
        <v>-</v>
      </c>
      <c r="AC46" s="166"/>
      <c r="AD46" s="168"/>
      <c r="AE46" s="169"/>
      <c r="AF46" s="169"/>
      <c r="AG46" s="170"/>
      <c r="AH46" s="171"/>
      <c r="AI46" s="171"/>
      <c r="AJ46" s="344"/>
      <c r="AK46" s="345"/>
      <c r="AL46" s="352"/>
      <c r="AM46" s="353"/>
      <c r="AN46" s="172"/>
      <c r="AO46" s="101" t="str">
        <f t="shared" si="19"/>
        <v/>
      </c>
      <c r="AP46" s="113" t="str">
        <f t="shared" si="20"/>
        <v>-</v>
      </c>
      <c r="AQ46" s="119"/>
      <c r="AR46" s="103" t="str">
        <f t="shared" si="21"/>
        <v/>
      </c>
      <c r="AY46" s="38" t="str">
        <f t="shared" si="1"/>
        <v/>
      </c>
      <c r="AZ46" s="38" t="str">
        <f t="shared" si="2"/>
        <v>0</v>
      </c>
      <c r="BA46" s="38" t="str">
        <f t="shared" si="3"/>
        <v>0</v>
      </c>
      <c r="BB46" s="38" t="str">
        <f t="shared" si="4"/>
        <v>0</v>
      </c>
      <c r="BC46" s="38">
        <f t="shared" si="5"/>
        <v>0</v>
      </c>
      <c r="BD46" s="38">
        <f t="shared" si="6"/>
        <v>0</v>
      </c>
      <c r="BL46" s="38" t="str">
        <f t="shared" si="7"/>
        <v/>
      </c>
      <c r="BM46" s="38" t="str">
        <f t="shared" si="8"/>
        <v/>
      </c>
      <c r="BN46" s="38" t="str">
        <f t="shared" si="9"/>
        <v/>
      </c>
      <c r="BO46" s="38" t="str">
        <f t="shared" si="10"/>
        <v/>
      </c>
      <c r="BP46" s="38" t="str">
        <f t="shared" si="11"/>
        <v/>
      </c>
      <c r="BQ46" s="38" t="str">
        <f t="shared" si="12"/>
        <v/>
      </c>
    </row>
    <row r="47" spans="1:69" ht="18.600000000000001" thickBot="1" x14ac:dyDescent="0.35">
      <c r="A47" s="173" t="s">
        <v>69</v>
      </c>
      <c r="B47" s="174"/>
      <c r="C47" s="174"/>
      <c r="D47" s="174"/>
      <c r="E47" s="174"/>
      <c r="F47" s="174"/>
      <c r="G47" s="174">
        <f>IF(AO52&gt;AR52,AO52,IF(AO52=AR52,AO52,AR52))</f>
        <v>5</v>
      </c>
      <c r="H47" s="175" t="s">
        <v>16</v>
      </c>
      <c r="I47" s="174">
        <f>IF(AO52&gt;AR52,AR52,IF(AO52=AR52,AR52,AO52))</f>
        <v>3</v>
      </c>
      <c r="J47" s="174"/>
      <c r="K47" s="174" t="s">
        <v>70</v>
      </c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6" t="str">
        <f>BE52</f>
        <v>BLAUW</v>
      </c>
      <c r="W47" s="174"/>
      <c r="X47" s="174"/>
      <c r="Y47" s="174"/>
      <c r="Z47" s="174"/>
      <c r="AA47" s="174"/>
      <c r="AB47" s="174"/>
      <c r="AC47" s="174"/>
      <c r="AD47" s="177"/>
      <c r="AE47" s="178" t="s">
        <v>71</v>
      </c>
      <c r="AF47" s="179"/>
      <c r="AG47" s="179"/>
      <c r="AH47" s="179"/>
      <c r="AI47" s="179"/>
      <c r="AJ47" s="174"/>
      <c r="AK47" s="174"/>
      <c r="AL47" s="403" t="s">
        <v>177</v>
      </c>
      <c r="AM47" s="404"/>
      <c r="AN47" s="404"/>
      <c r="AO47" s="404"/>
      <c r="AP47" s="404"/>
      <c r="AQ47" s="404"/>
      <c r="AR47" s="405"/>
    </row>
    <row r="48" spans="1:69" x14ac:dyDescent="0.3">
      <c r="A48" s="180" t="s">
        <v>72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2"/>
      <c r="P48" s="183" t="s">
        <v>72</v>
      </c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2"/>
      <c r="AC48" s="181"/>
      <c r="AD48" s="184"/>
      <c r="AE48" s="185" t="s">
        <v>72</v>
      </c>
      <c r="AF48" s="186"/>
      <c r="AG48" s="186"/>
      <c r="AH48" s="186"/>
      <c r="AI48" s="186"/>
      <c r="AJ48" s="181"/>
      <c r="AK48" s="181"/>
      <c r="AL48" s="181"/>
      <c r="AM48" s="181"/>
      <c r="AN48" s="181"/>
      <c r="AO48" s="186"/>
      <c r="AP48" s="181"/>
      <c r="AQ48" s="181"/>
      <c r="AR48" s="187"/>
    </row>
    <row r="49" spans="1:57" x14ac:dyDescent="0.3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/>
      <c r="P49" s="191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90"/>
      <c r="AC49" s="189"/>
      <c r="AD49" s="192"/>
      <c r="AE49" s="193"/>
      <c r="AF49" s="193"/>
      <c r="AG49" s="193"/>
      <c r="AH49" s="193"/>
      <c r="AI49" s="193"/>
      <c r="AJ49" s="189"/>
      <c r="AK49" s="189"/>
      <c r="AL49" s="189"/>
      <c r="AM49" s="189"/>
      <c r="AN49" s="189"/>
      <c r="AO49" s="193"/>
      <c r="AP49" s="189"/>
      <c r="AQ49" s="189"/>
      <c r="AR49" s="194"/>
    </row>
    <row r="50" spans="1:57" ht="14.4" thickBot="1" x14ac:dyDescent="0.3">
      <c r="A50" s="195" t="s">
        <v>73</v>
      </c>
      <c r="B50" s="196"/>
      <c r="C50" s="196"/>
      <c r="D50" s="196"/>
      <c r="E50" s="196"/>
      <c r="F50" s="196"/>
      <c r="G50" s="196"/>
      <c r="H50" s="197" t="s">
        <v>74</v>
      </c>
      <c r="I50" s="196"/>
      <c r="J50" s="196"/>
      <c r="K50" s="196"/>
      <c r="L50" s="196"/>
      <c r="M50" s="196"/>
      <c r="N50" s="196"/>
      <c r="O50" s="198"/>
      <c r="P50" s="199" t="s">
        <v>73</v>
      </c>
      <c r="Q50" s="196"/>
      <c r="R50" s="196"/>
      <c r="S50" s="196"/>
      <c r="T50" s="196"/>
      <c r="U50" s="196"/>
      <c r="V50" s="196"/>
      <c r="W50" s="197" t="s">
        <v>75</v>
      </c>
      <c r="X50" s="196"/>
      <c r="Y50" s="196"/>
      <c r="Z50" s="196"/>
      <c r="AA50" s="196"/>
      <c r="AB50" s="198"/>
      <c r="AC50" s="196"/>
      <c r="AD50" s="200"/>
      <c r="AE50" s="201" t="s">
        <v>25</v>
      </c>
      <c r="AF50" s="202"/>
      <c r="AG50" s="202"/>
      <c r="AH50" s="202"/>
      <c r="AI50" s="202"/>
      <c r="AJ50" s="203"/>
      <c r="AK50" s="203"/>
      <c r="AL50" s="203"/>
      <c r="AM50" s="203"/>
      <c r="AN50" s="203"/>
      <c r="AO50" s="202"/>
      <c r="AP50" s="203"/>
      <c r="AQ50" s="203"/>
      <c r="AR50" s="204"/>
    </row>
    <row r="52" spans="1:57" hidden="1" x14ac:dyDescent="0.3">
      <c r="AO52" s="40">
        <f>IF(AO13="","",MAX(AO13:AO46))</f>
        <v>3</v>
      </c>
      <c r="AR52" s="40">
        <f>IF(AR13="","",MAX(AR13:AR46))</f>
        <v>5</v>
      </c>
      <c r="AS52" s="38" t="str">
        <f>IF(AO13="","0","1")</f>
        <v>1</v>
      </c>
      <c r="BE52" s="38" t="str">
        <f>IF(AS52="0","WIT/BLAUW",IF(AO52&gt;AR52,"WIT",IF(AO52=AR52,"GELIJK","BLAUW")))</f>
        <v>BLAUW</v>
      </c>
    </row>
  </sheetData>
  <sheetProtection sheet="1" objects="1" scenarios="1"/>
  <mergeCells count="107">
    <mergeCell ref="B14:C14"/>
    <mergeCell ref="B15:C15"/>
    <mergeCell ref="B16:C16"/>
    <mergeCell ref="AJ17:AK17"/>
    <mergeCell ref="G4:I4"/>
    <mergeCell ref="K4:M4"/>
    <mergeCell ref="AH6:AR6"/>
    <mergeCell ref="F10:Y12"/>
    <mergeCell ref="Z10:AD12"/>
    <mergeCell ref="AJ10:AK12"/>
    <mergeCell ref="AL10:AM12"/>
    <mergeCell ref="AN10:AR11"/>
    <mergeCell ref="A11:D12"/>
    <mergeCell ref="AN12:AO12"/>
    <mergeCell ref="AQ12:AR12"/>
    <mergeCell ref="B30:C30"/>
    <mergeCell ref="B18:C18"/>
    <mergeCell ref="B19:C19"/>
    <mergeCell ref="B20:C20"/>
    <mergeCell ref="B21:C21"/>
    <mergeCell ref="B22:C22"/>
    <mergeCell ref="B23:C23"/>
    <mergeCell ref="AJ18:AK18"/>
    <mergeCell ref="AJ19:AK19"/>
    <mergeCell ref="AJ20:AK20"/>
    <mergeCell ref="AJ21:AK21"/>
    <mergeCell ref="AJ29:AK29"/>
    <mergeCell ref="AJ30:AK30"/>
    <mergeCell ref="B37:C37"/>
    <mergeCell ref="B38:C38"/>
    <mergeCell ref="B39:C39"/>
    <mergeCell ref="I40:J40"/>
    <mergeCell ref="B31:C31"/>
    <mergeCell ref="B32:C32"/>
    <mergeCell ref="B33:C33"/>
    <mergeCell ref="B34:C34"/>
    <mergeCell ref="B35:C35"/>
    <mergeCell ref="B36:C36"/>
    <mergeCell ref="AL26:AM26"/>
    <mergeCell ref="AL17:AM17"/>
    <mergeCell ref="AL18:AM18"/>
    <mergeCell ref="AL19:AM19"/>
    <mergeCell ref="AL20:AM20"/>
    <mergeCell ref="AL21:AM21"/>
    <mergeCell ref="D3:N3"/>
    <mergeCell ref="AL13:AM13"/>
    <mergeCell ref="AL14:AM14"/>
    <mergeCell ref="AL15:AM15"/>
    <mergeCell ref="AL16:AM16"/>
    <mergeCell ref="AJ13:AK13"/>
    <mergeCell ref="AJ14:AK14"/>
    <mergeCell ref="AJ15:AK15"/>
    <mergeCell ref="AJ16:AK16"/>
    <mergeCell ref="I24:J24"/>
    <mergeCell ref="F25:Y28"/>
    <mergeCell ref="A26:D28"/>
    <mergeCell ref="AL27:AM27"/>
    <mergeCell ref="AL28:AM28"/>
    <mergeCell ref="AJ27:AK27"/>
    <mergeCell ref="AJ28:AK28"/>
    <mergeCell ref="B17:C17"/>
    <mergeCell ref="D4:E4"/>
    <mergeCell ref="BF4:BI6"/>
    <mergeCell ref="AL47:AR47"/>
    <mergeCell ref="AL44:AM44"/>
    <mergeCell ref="AL45:AM45"/>
    <mergeCell ref="AL46:AM46"/>
    <mergeCell ref="AL39:AM39"/>
    <mergeCell ref="AL40:AM40"/>
    <mergeCell ref="AL41:AM41"/>
    <mergeCell ref="AL42:AM42"/>
    <mergeCell ref="AL43:AM43"/>
    <mergeCell ref="AL34:AM34"/>
    <mergeCell ref="AL35:AM35"/>
    <mergeCell ref="AL36:AM36"/>
    <mergeCell ref="AL37:AM37"/>
    <mergeCell ref="AL38:AM38"/>
    <mergeCell ref="AL29:AM29"/>
    <mergeCell ref="AL30:AM30"/>
    <mergeCell ref="AL31:AM31"/>
    <mergeCell ref="AL32:AM32"/>
    <mergeCell ref="AL33:AM33"/>
    <mergeCell ref="AL22:AM22"/>
    <mergeCell ref="AL23:AM23"/>
    <mergeCell ref="AL24:AM24"/>
    <mergeCell ref="AL25:AM25"/>
    <mergeCell ref="AJ31:AK31"/>
    <mergeCell ref="AJ32:AK32"/>
    <mergeCell ref="AJ33:AK33"/>
    <mergeCell ref="AJ22:AK22"/>
    <mergeCell ref="AJ23:AK23"/>
    <mergeCell ref="AJ24:AK24"/>
    <mergeCell ref="AJ25:AK25"/>
    <mergeCell ref="AJ26:AK26"/>
    <mergeCell ref="AJ44:AK44"/>
    <mergeCell ref="AJ45:AK45"/>
    <mergeCell ref="AJ46:AK46"/>
    <mergeCell ref="AJ39:AK39"/>
    <mergeCell ref="AJ40:AK40"/>
    <mergeCell ref="AJ41:AK41"/>
    <mergeCell ref="AJ42:AK42"/>
    <mergeCell ref="AJ43:AK43"/>
    <mergeCell ref="AJ34:AK34"/>
    <mergeCell ref="AJ35:AK35"/>
    <mergeCell ref="AJ36:AK36"/>
    <mergeCell ref="AJ37:AK37"/>
    <mergeCell ref="AJ38:AK38"/>
  </mergeCells>
  <dataValidations count="1">
    <dataValidation type="list" allowBlank="1" showInputMessage="1" showErrorMessage="1" sqref="AL47:AR47" xr:uid="{E7230E68-72C2-4C17-B4F8-DD927618384D}">
      <formula1>"JA/NEE,JA,NEE"</formula1>
    </dataValidation>
  </dataValidations>
  <hyperlinks>
    <hyperlink ref="BF4:BI6" location="Wedstrijden!A1" display="Wedstrijdschema" xr:uid="{5B180969-76D1-4AD6-9B5B-DE89E28115FE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A1:IV52"/>
  <sheetViews>
    <sheetView workbookViewId="0">
      <selection activeCell="BF4" sqref="BF4:BI6"/>
    </sheetView>
  </sheetViews>
  <sheetFormatPr defaultRowHeight="13.8" x14ac:dyDescent="0.3"/>
  <cols>
    <col min="1" max="6" width="2.33203125" style="38" customWidth="1"/>
    <col min="7" max="7" width="3.33203125" style="38" customWidth="1"/>
    <col min="8" max="8" width="2.33203125" style="38" customWidth="1"/>
    <col min="9" max="9" width="3.33203125" style="38" customWidth="1"/>
    <col min="10" max="25" width="2.33203125" style="38" customWidth="1"/>
    <col min="26" max="28" width="2.109375" style="38" customWidth="1"/>
    <col min="29" max="29" width="3" style="38" customWidth="1"/>
    <col min="30" max="30" width="2.109375" style="39" customWidth="1"/>
    <col min="31" max="35" width="2.33203125" style="40" customWidth="1"/>
    <col min="36" max="39" width="2.33203125" style="38" customWidth="1"/>
    <col min="40" max="40" width="2.109375" style="38" customWidth="1"/>
    <col min="41" max="41" width="3.33203125" style="40" customWidth="1"/>
    <col min="42" max="43" width="2.109375" style="38" customWidth="1"/>
    <col min="44" max="44" width="3.33203125" style="40" customWidth="1"/>
    <col min="45" max="45" width="9.109375" style="38"/>
    <col min="46" max="56" width="9.109375" style="38" hidden="1" customWidth="1"/>
    <col min="57" max="62" width="9.109375" style="38"/>
    <col min="63" max="69" width="0" style="38" hidden="1" customWidth="1"/>
    <col min="70" max="256" width="9.109375" style="38"/>
    <col min="257" max="281" width="2.33203125" style="38" customWidth="1"/>
    <col min="282" max="286" width="2.109375" style="38" customWidth="1"/>
    <col min="287" max="295" width="2.33203125" style="38" customWidth="1"/>
    <col min="296" max="300" width="2.109375" style="38" customWidth="1"/>
    <col min="301" max="512" width="9.109375" style="38"/>
    <col min="513" max="537" width="2.33203125" style="38" customWidth="1"/>
    <col min="538" max="542" width="2.109375" style="38" customWidth="1"/>
    <col min="543" max="551" width="2.33203125" style="38" customWidth="1"/>
    <col min="552" max="556" width="2.109375" style="38" customWidth="1"/>
    <col min="557" max="768" width="9.109375" style="38"/>
    <col min="769" max="793" width="2.33203125" style="38" customWidth="1"/>
    <col min="794" max="798" width="2.109375" style="38" customWidth="1"/>
    <col min="799" max="807" width="2.33203125" style="38" customWidth="1"/>
    <col min="808" max="812" width="2.109375" style="38" customWidth="1"/>
    <col min="813" max="1024" width="9.109375" style="38"/>
    <col min="1025" max="1049" width="2.33203125" style="38" customWidth="1"/>
    <col min="1050" max="1054" width="2.109375" style="38" customWidth="1"/>
    <col min="1055" max="1063" width="2.33203125" style="38" customWidth="1"/>
    <col min="1064" max="1068" width="2.109375" style="38" customWidth="1"/>
    <col min="1069" max="1280" width="9.109375" style="38"/>
    <col min="1281" max="1305" width="2.33203125" style="38" customWidth="1"/>
    <col min="1306" max="1310" width="2.109375" style="38" customWidth="1"/>
    <col min="1311" max="1319" width="2.33203125" style="38" customWidth="1"/>
    <col min="1320" max="1324" width="2.109375" style="38" customWidth="1"/>
    <col min="1325" max="1536" width="9.109375" style="38"/>
    <col min="1537" max="1561" width="2.33203125" style="38" customWidth="1"/>
    <col min="1562" max="1566" width="2.109375" style="38" customWidth="1"/>
    <col min="1567" max="1575" width="2.33203125" style="38" customWidth="1"/>
    <col min="1576" max="1580" width="2.109375" style="38" customWidth="1"/>
    <col min="1581" max="1792" width="9.109375" style="38"/>
    <col min="1793" max="1817" width="2.33203125" style="38" customWidth="1"/>
    <col min="1818" max="1822" width="2.109375" style="38" customWidth="1"/>
    <col min="1823" max="1831" width="2.33203125" style="38" customWidth="1"/>
    <col min="1832" max="1836" width="2.109375" style="38" customWidth="1"/>
    <col min="1837" max="2048" width="9.109375" style="38"/>
    <col min="2049" max="2073" width="2.33203125" style="38" customWidth="1"/>
    <col min="2074" max="2078" width="2.109375" style="38" customWidth="1"/>
    <col min="2079" max="2087" width="2.33203125" style="38" customWidth="1"/>
    <col min="2088" max="2092" width="2.109375" style="38" customWidth="1"/>
    <col min="2093" max="2304" width="9.109375" style="38"/>
    <col min="2305" max="2329" width="2.33203125" style="38" customWidth="1"/>
    <col min="2330" max="2334" width="2.109375" style="38" customWidth="1"/>
    <col min="2335" max="2343" width="2.33203125" style="38" customWidth="1"/>
    <col min="2344" max="2348" width="2.109375" style="38" customWidth="1"/>
    <col min="2349" max="2560" width="9.109375" style="38"/>
    <col min="2561" max="2585" width="2.33203125" style="38" customWidth="1"/>
    <col min="2586" max="2590" width="2.109375" style="38" customWidth="1"/>
    <col min="2591" max="2599" width="2.33203125" style="38" customWidth="1"/>
    <col min="2600" max="2604" width="2.109375" style="38" customWidth="1"/>
    <col min="2605" max="2816" width="9.109375" style="38"/>
    <col min="2817" max="2841" width="2.33203125" style="38" customWidth="1"/>
    <col min="2842" max="2846" width="2.109375" style="38" customWidth="1"/>
    <col min="2847" max="2855" width="2.33203125" style="38" customWidth="1"/>
    <col min="2856" max="2860" width="2.109375" style="38" customWidth="1"/>
    <col min="2861" max="3072" width="9.109375" style="38"/>
    <col min="3073" max="3097" width="2.33203125" style="38" customWidth="1"/>
    <col min="3098" max="3102" width="2.109375" style="38" customWidth="1"/>
    <col min="3103" max="3111" width="2.33203125" style="38" customWidth="1"/>
    <col min="3112" max="3116" width="2.109375" style="38" customWidth="1"/>
    <col min="3117" max="3328" width="9.109375" style="38"/>
    <col min="3329" max="3353" width="2.33203125" style="38" customWidth="1"/>
    <col min="3354" max="3358" width="2.109375" style="38" customWidth="1"/>
    <col min="3359" max="3367" width="2.33203125" style="38" customWidth="1"/>
    <col min="3368" max="3372" width="2.109375" style="38" customWidth="1"/>
    <col min="3373" max="3584" width="9.109375" style="38"/>
    <col min="3585" max="3609" width="2.33203125" style="38" customWidth="1"/>
    <col min="3610" max="3614" width="2.109375" style="38" customWidth="1"/>
    <col min="3615" max="3623" width="2.33203125" style="38" customWidth="1"/>
    <col min="3624" max="3628" width="2.109375" style="38" customWidth="1"/>
    <col min="3629" max="3840" width="9.109375" style="38"/>
    <col min="3841" max="3865" width="2.33203125" style="38" customWidth="1"/>
    <col min="3866" max="3870" width="2.109375" style="38" customWidth="1"/>
    <col min="3871" max="3879" width="2.33203125" style="38" customWidth="1"/>
    <col min="3880" max="3884" width="2.109375" style="38" customWidth="1"/>
    <col min="3885" max="4096" width="9.109375" style="38"/>
    <col min="4097" max="4121" width="2.33203125" style="38" customWidth="1"/>
    <col min="4122" max="4126" width="2.109375" style="38" customWidth="1"/>
    <col min="4127" max="4135" width="2.33203125" style="38" customWidth="1"/>
    <col min="4136" max="4140" width="2.109375" style="38" customWidth="1"/>
    <col min="4141" max="4352" width="9.109375" style="38"/>
    <col min="4353" max="4377" width="2.33203125" style="38" customWidth="1"/>
    <col min="4378" max="4382" width="2.109375" style="38" customWidth="1"/>
    <col min="4383" max="4391" width="2.33203125" style="38" customWidth="1"/>
    <col min="4392" max="4396" width="2.109375" style="38" customWidth="1"/>
    <col min="4397" max="4608" width="9.109375" style="38"/>
    <col min="4609" max="4633" width="2.33203125" style="38" customWidth="1"/>
    <col min="4634" max="4638" width="2.109375" style="38" customWidth="1"/>
    <col min="4639" max="4647" width="2.33203125" style="38" customWidth="1"/>
    <col min="4648" max="4652" width="2.109375" style="38" customWidth="1"/>
    <col min="4653" max="4864" width="9.109375" style="38"/>
    <col min="4865" max="4889" width="2.33203125" style="38" customWidth="1"/>
    <col min="4890" max="4894" width="2.109375" style="38" customWidth="1"/>
    <col min="4895" max="4903" width="2.33203125" style="38" customWidth="1"/>
    <col min="4904" max="4908" width="2.109375" style="38" customWidth="1"/>
    <col min="4909" max="5120" width="9.109375" style="38"/>
    <col min="5121" max="5145" width="2.33203125" style="38" customWidth="1"/>
    <col min="5146" max="5150" width="2.109375" style="38" customWidth="1"/>
    <col min="5151" max="5159" width="2.33203125" style="38" customWidth="1"/>
    <col min="5160" max="5164" width="2.109375" style="38" customWidth="1"/>
    <col min="5165" max="5376" width="9.109375" style="38"/>
    <col min="5377" max="5401" width="2.33203125" style="38" customWidth="1"/>
    <col min="5402" max="5406" width="2.109375" style="38" customWidth="1"/>
    <col min="5407" max="5415" width="2.33203125" style="38" customWidth="1"/>
    <col min="5416" max="5420" width="2.109375" style="38" customWidth="1"/>
    <col min="5421" max="5632" width="9.109375" style="38"/>
    <col min="5633" max="5657" width="2.33203125" style="38" customWidth="1"/>
    <col min="5658" max="5662" width="2.109375" style="38" customWidth="1"/>
    <col min="5663" max="5671" width="2.33203125" style="38" customWidth="1"/>
    <col min="5672" max="5676" width="2.109375" style="38" customWidth="1"/>
    <col min="5677" max="5888" width="9.109375" style="38"/>
    <col min="5889" max="5913" width="2.33203125" style="38" customWidth="1"/>
    <col min="5914" max="5918" width="2.109375" style="38" customWidth="1"/>
    <col min="5919" max="5927" width="2.33203125" style="38" customWidth="1"/>
    <col min="5928" max="5932" width="2.109375" style="38" customWidth="1"/>
    <col min="5933" max="6144" width="9.109375" style="38"/>
    <col min="6145" max="6169" width="2.33203125" style="38" customWidth="1"/>
    <col min="6170" max="6174" width="2.109375" style="38" customWidth="1"/>
    <col min="6175" max="6183" width="2.33203125" style="38" customWidth="1"/>
    <col min="6184" max="6188" width="2.109375" style="38" customWidth="1"/>
    <col min="6189" max="6400" width="9.109375" style="38"/>
    <col min="6401" max="6425" width="2.33203125" style="38" customWidth="1"/>
    <col min="6426" max="6430" width="2.109375" style="38" customWidth="1"/>
    <col min="6431" max="6439" width="2.33203125" style="38" customWidth="1"/>
    <col min="6440" max="6444" width="2.109375" style="38" customWidth="1"/>
    <col min="6445" max="6656" width="9.109375" style="38"/>
    <col min="6657" max="6681" width="2.33203125" style="38" customWidth="1"/>
    <col min="6682" max="6686" width="2.109375" style="38" customWidth="1"/>
    <col min="6687" max="6695" width="2.33203125" style="38" customWidth="1"/>
    <col min="6696" max="6700" width="2.109375" style="38" customWidth="1"/>
    <col min="6701" max="6912" width="9.109375" style="38"/>
    <col min="6913" max="6937" width="2.33203125" style="38" customWidth="1"/>
    <col min="6938" max="6942" width="2.109375" style="38" customWidth="1"/>
    <col min="6943" max="6951" width="2.33203125" style="38" customWidth="1"/>
    <col min="6952" max="6956" width="2.109375" style="38" customWidth="1"/>
    <col min="6957" max="7168" width="9.109375" style="38"/>
    <col min="7169" max="7193" width="2.33203125" style="38" customWidth="1"/>
    <col min="7194" max="7198" width="2.109375" style="38" customWidth="1"/>
    <col min="7199" max="7207" width="2.33203125" style="38" customWidth="1"/>
    <col min="7208" max="7212" width="2.109375" style="38" customWidth="1"/>
    <col min="7213" max="7424" width="9.109375" style="38"/>
    <col min="7425" max="7449" width="2.33203125" style="38" customWidth="1"/>
    <col min="7450" max="7454" width="2.109375" style="38" customWidth="1"/>
    <col min="7455" max="7463" width="2.33203125" style="38" customWidth="1"/>
    <col min="7464" max="7468" width="2.109375" style="38" customWidth="1"/>
    <col min="7469" max="7680" width="9.109375" style="38"/>
    <col min="7681" max="7705" width="2.33203125" style="38" customWidth="1"/>
    <col min="7706" max="7710" width="2.109375" style="38" customWidth="1"/>
    <col min="7711" max="7719" width="2.33203125" style="38" customWidth="1"/>
    <col min="7720" max="7724" width="2.109375" style="38" customWidth="1"/>
    <col min="7725" max="7936" width="9.109375" style="38"/>
    <col min="7937" max="7961" width="2.33203125" style="38" customWidth="1"/>
    <col min="7962" max="7966" width="2.109375" style="38" customWidth="1"/>
    <col min="7967" max="7975" width="2.33203125" style="38" customWidth="1"/>
    <col min="7976" max="7980" width="2.109375" style="38" customWidth="1"/>
    <col min="7981" max="8192" width="9.109375" style="38"/>
    <col min="8193" max="8217" width="2.33203125" style="38" customWidth="1"/>
    <col min="8218" max="8222" width="2.109375" style="38" customWidth="1"/>
    <col min="8223" max="8231" width="2.33203125" style="38" customWidth="1"/>
    <col min="8232" max="8236" width="2.109375" style="38" customWidth="1"/>
    <col min="8237" max="8448" width="9.109375" style="38"/>
    <col min="8449" max="8473" width="2.33203125" style="38" customWidth="1"/>
    <col min="8474" max="8478" width="2.109375" style="38" customWidth="1"/>
    <col min="8479" max="8487" width="2.33203125" style="38" customWidth="1"/>
    <col min="8488" max="8492" width="2.109375" style="38" customWidth="1"/>
    <col min="8493" max="8704" width="9.109375" style="38"/>
    <col min="8705" max="8729" width="2.33203125" style="38" customWidth="1"/>
    <col min="8730" max="8734" width="2.109375" style="38" customWidth="1"/>
    <col min="8735" max="8743" width="2.33203125" style="38" customWidth="1"/>
    <col min="8744" max="8748" width="2.109375" style="38" customWidth="1"/>
    <col min="8749" max="8960" width="9.109375" style="38"/>
    <col min="8961" max="8985" width="2.33203125" style="38" customWidth="1"/>
    <col min="8986" max="8990" width="2.109375" style="38" customWidth="1"/>
    <col min="8991" max="8999" width="2.33203125" style="38" customWidth="1"/>
    <col min="9000" max="9004" width="2.109375" style="38" customWidth="1"/>
    <col min="9005" max="9216" width="9.109375" style="38"/>
    <col min="9217" max="9241" width="2.33203125" style="38" customWidth="1"/>
    <col min="9242" max="9246" width="2.109375" style="38" customWidth="1"/>
    <col min="9247" max="9255" width="2.33203125" style="38" customWidth="1"/>
    <col min="9256" max="9260" width="2.109375" style="38" customWidth="1"/>
    <col min="9261" max="9472" width="9.109375" style="38"/>
    <col min="9473" max="9497" width="2.33203125" style="38" customWidth="1"/>
    <col min="9498" max="9502" width="2.109375" style="38" customWidth="1"/>
    <col min="9503" max="9511" width="2.33203125" style="38" customWidth="1"/>
    <col min="9512" max="9516" width="2.109375" style="38" customWidth="1"/>
    <col min="9517" max="9728" width="9.109375" style="38"/>
    <col min="9729" max="9753" width="2.33203125" style="38" customWidth="1"/>
    <col min="9754" max="9758" width="2.109375" style="38" customWidth="1"/>
    <col min="9759" max="9767" width="2.33203125" style="38" customWidth="1"/>
    <col min="9768" max="9772" width="2.109375" style="38" customWidth="1"/>
    <col min="9773" max="9984" width="9.109375" style="38"/>
    <col min="9985" max="10009" width="2.33203125" style="38" customWidth="1"/>
    <col min="10010" max="10014" width="2.109375" style="38" customWidth="1"/>
    <col min="10015" max="10023" width="2.33203125" style="38" customWidth="1"/>
    <col min="10024" max="10028" width="2.109375" style="38" customWidth="1"/>
    <col min="10029" max="10240" width="9.109375" style="38"/>
    <col min="10241" max="10265" width="2.33203125" style="38" customWidth="1"/>
    <col min="10266" max="10270" width="2.109375" style="38" customWidth="1"/>
    <col min="10271" max="10279" width="2.33203125" style="38" customWidth="1"/>
    <col min="10280" max="10284" width="2.109375" style="38" customWidth="1"/>
    <col min="10285" max="10496" width="9.109375" style="38"/>
    <col min="10497" max="10521" width="2.33203125" style="38" customWidth="1"/>
    <col min="10522" max="10526" width="2.109375" style="38" customWidth="1"/>
    <col min="10527" max="10535" width="2.33203125" style="38" customWidth="1"/>
    <col min="10536" max="10540" width="2.109375" style="38" customWidth="1"/>
    <col min="10541" max="10752" width="9.109375" style="38"/>
    <col min="10753" max="10777" width="2.33203125" style="38" customWidth="1"/>
    <col min="10778" max="10782" width="2.109375" style="38" customWidth="1"/>
    <col min="10783" max="10791" width="2.33203125" style="38" customWidth="1"/>
    <col min="10792" max="10796" width="2.109375" style="38" customWidth="1"/>
    <col min="10797" max="11008" width="9.109375" style="38"/>
    <col min="11009" max="11033" width="2.33203125" style="38" customWidth="1"/>
    <col min="11034" max="11038" width="2.109375" style="38" customWidth="1"/>
    <col min="11039" max="11047" width="2.33203125" style="38" customWidth="1"/>
    <col min="11048" max="11052" width="2.109375" style="38" customWidth="1"/>
    <col min="11053" max="11264" width="9.109375" style="38"/>
    <col min="11265" max="11289" width="2.33203125" style="38" customWidth="1"/>
    <col min="11290" max="11294" width="2.109375" style="38" customWidth="1"/>
    <col min="11295" max="11303" width="2.33203125" style="38" customWidth="1"/>
    <col min="11304" max="11308" width="2.109375" style="38" customWidth="1"/>
    <col min="11309" max="11520" width="9.109375" style="38"/>
    <col min="11521" max="11545" width="2.33203125" style="38" customWidth="1"/>
    <col min="11546" max="11550" width="2.109375" style="38" customWidth="1"/>
    <col min="11551" max="11559" width="2.33203125" style="38" customWidth="1"/>
    <col min="11560" max="11564" width="2.109375" style="38" customWidth="1"/>
    <col min="11565" max="11776" width="9.109375" style="38"/>
    <col min="11777" max="11801" width="2.33203125" style="38" customWidth="1"/>
    <col min="11802" max="11806" width="2.109375" style="38" customWidth="1"/>
    <col min="11807" max="11815" width="2.33203125" style="38" customWidth="1"/>
    <col min="11816" max="11820" width="2.109375" style="38" customWidth="1"/>
    <col min="11821" max="12032" width="9.109375" style="38"/>
    <col min="12033" max="12057" width="2.33203125" style="38" customWidth="1"/>
    <col min="12058" max="12062" width="2.109375" style="38" customWidth="1"/>
    <col min="12063" max="12071" width="2.33203125" style="38" customWidth="1"/>
    <col min="12072" max="12076" width="2.109375" style="38" customWidth="1"/>
    <col min="12077" max="12288" width="9.109375" style="38"/>
    <col min="12289" max="12313" width="2.33203125" style="38" customWidth="1"/>
    <col min="12314" max="12318" width="2.109375" style="38" customWidth="1"/>
    <col min="12319" max="12327" width="2.33203125" style="38" customWidth="1"/>
    <col min="12328" max="12332" width="2.109375" style="38" customWidth="1"/>
    <col min="12333" max="12544" width="9.109375" style="38"/>
    <col min="12545" max="12569" width="2.33203125" style="38" customWidth="1"/>
    <col min="12570" max="12574" width="2.109375" style="38" customWidth="1"/>
    <col min="12575" max="12583" width="2.33203125" style="38" customWidth="1"/>
    <col min="12584" max="12588" width="2.109375" style="38" customWidth="1"/>
    <col min="12589" max="12800" width="9.109375" style="38"/>
    <col min="12801" max="12825" width="2.33203125" style="38" customWidth="1"/>
    <col min="12826" max="12830" width="2.109375" style="38" customWidth="1"/>
    <col min="12831" max="12839" width="2.33203125" style="38" customWidth="1"/>
    <col min="12840" max="12844" width="2.109375" style="38" customWidth="1"/>
    <col min="12845" max="13056" width="9.109375" style="38"/>
    <col min="13057" max="13081" width="2.33203125" style="38" customWidth="1"/>
    <col min="13082" max="13086" width="2.109375" style="38" customWidth="1"/>
    <col min="13087" max="13095" width="2.33203125" style="38" customWidth="1"/>
    <col min="13096" max="13100" width="2.109375" style="38" customWidth="1"/>
    <col min="13101" max="13312" width="9.109375" style="38"/>
    <col min="13313" max="13337" width="2.33203125" style="38" customWidth="1"/>
    <col min="13338" max="13342" width="2.109375" style="38" customWidth="1"/>
    <col min="13343" max="13351" width="2.33203125" style="38" customWidth="1"/>
    <col min="13352" max="13356" width="2.109375" style="38" customWidth="1"/>
    <col min="13357" max="13568" width="9.109375" style="38"/>
    <col min="13569" max="13593" width="2.33203125" style="38" customWidth="1"/>
    <col min="13594" max="13598" width="2.109375" style="38" customWidth="1"/>
    <col min="13599" max="13607" width="2.33203125" style="38" customWidth="1"/>
    <col min="13608" max="13612" width="2.109375" style="38" customWidth="1"/>
    <col min="13613" max="13824" width="9.109375" style="38"/>
    <col min="13825" max="13849" width="2.33203125" style="38" customWidth="1"/>
    <col min="13850" max="13854" width="2.109375" style="38" customWidth="1"/>
    <col min="13855" max="13863" width="2.33203125" style="38" customWidth="1"/>
    <col min="13864" max="13868" width="2.109375" style="38" customWidth="1"/>
    <col min="13869" max="14080" width="9.109375" style="38"/>
    <col min="14081" max="14105" width="2.33203125" style="38" customWidth="1"/>
    <col min="14106" max="14110" width="2.109375" style="38" customWidth="1"/>
    <col min="14111" max="14119" width="2.33203125" style="38" customWidth="1"/>
    <col min="14120" max="14124" width="2.109375" style="38" customWidth="1"/>
    <col min="14125" max="14336" width="9.109375" style="38"/>
    <col min="14337" max="14361" width="2.33203125" style="38" customWidth="1"/>
    <col min="14362" max="14366" width="2.109375" style="38" customWidth="1"/>
    <col min="14367" max="14375" width="2.33203125" style="38" customWidth="1"/>
    <col min="14376" max="14380" width="2.109375" style="38" customWidth="1"/>
    <col min="14381" max="14592" width="9.109375" style="38"/>
    <col min="14593" max="14617" width="2.33203125" style="38" customWidth="1"/>
    <col min="14618" max="14622" width="2.109375" style="38" customWidth="1"/>
    <col min="14623" max="14631" width="2.33203125" style="38" customWidth="1"/>
    <col min="14632" max="14636" width="2.109375" style="38" customWidth="1"/>
    <col min="14637" max="14848" width="9.109375" style="38"/>
    <col min="14849" max="14873" width="2.33203125" style="38" customWidth="1"/>
    <col min="14874" max="14878" width="2.109375" style="38" customWidth="1"/>
    <col min="14879" max="14887" width="2.33203125" style="38" customWidth="1"/>
    <col min="14888" max="14892" width="2.109375" style="38" customWidth="1"/>
    <col min="14893" max="15104" width="9.109375" style="38"/>
    <col min="15105" max="15129" width="2.33203125" style="38" customWidth="1"/>
    <col min="15130" max="15134" width="2.109375" style="38" customWidth="1"/>
    <col min="15135" max="15143" width="2.33203125" style="38" customWidth="1"/>
    <col min="15144" max="15148" width="2.109375" style="38" customWidth="1"/>
    <col min="15149" max="15360" width="9.109375" style="38"/>
    <col min="15361" max="15385" width="2.33203125" style="38" customWidth="1"/>
    <col min="15386" max="15390" width="2.109375" style="38" customWidth="1"/>
    <col min="15391" max="15399" width="2.33203125" style="38" customWidth="1"/>
    <col min="15400" max="15404" width="2.109375" style="38" customWidth="1"/>
    <col min="15405" max="15616" width="9.109375" style="38"/>
    <col min="15617" max="15641" width="2.33203125" style="38" customWidth="1"/>
    <col min="15642" max="15646" width="2.109375" style="38" customWidth="1"/>
    <col min="15647" max="15655" width="2.33203125" style="38" customWidth="1"/>
    <col min="15656" max="15660" width="2.109375" style="38" customWidth="1"/>
    <col min="15661" max="15872" width="9.109375" style="38"/>
    <col min="15873" max="15897" width="2.33203125" style="38" customWidth="1"/>
    <col min="15898" max="15902" width="2.109375" style="38" customWidth="1"/>
    <col min="15903" max="15911" width="2.33203125" style="38" customWidth="1"/>
    <col min="15912" max="15916" width="2.109375" style="38" customWidth="1"/>
    <col min="15917" max="16128" width="9.109375" style="38"/>
    <col min="16129" max="16153" width="2.33203125" style="38" customWidth="1"/>
    <col min="16154" max="16158" width="2.109375" style="38" customWidth="1"/>
    <col min="16159" max="16167" width="2.33203125" style="38" customWidth="1"/>
    <col min="16168" max="16172" width="2.109375" style="38" customWidth="1"/>
    <col min="16173" max="16384" width="9.109375" style="38"/>
  </cols>
  <sheetData>
    <row r="1" spans="1:256" ht="20.399999999999999" x14ac:dyDescent="0.3">
      <c r="A1" s="37" t="s">
        <v>40</v>
      </c>
      <c r="AO1" s="41">
        <v>0</v>
      </c>
      <c r="AP1" s="42"/>
      <c r="AQ1" s="42"/>
      <c r="AR1" s="41">
        <v>0</v>
      </c>
      <c r="AV1" s="43">
        <v>1.3888888888888888E-2</v>
      </c>
    </row>
    <row r="2" spans="1:256" x14ac:dyDescent="0.3">
      <c r="A2" s="38" t="s">
        <v>42</v>
      </c>
      <c r="E2" s="38" t="s">
        <v>76</v>
      </c>
      <c r="P2" s="44" t="s">
        <v>22</v>
      </c>
      <c r="Q2" s="45"/>
      <c r="R2" s="45"/>
      <c r="S2" s="45"/>
      <c r="T2" s="45"/>
      <c r="U2" s="45"/>
      <c r="V2" s="45"/>
      <c r="W2" s="45" t="s">
        <v>3</v>
      </c>
      <c r="X2" s="45"/>
      <c r="Y2" s="46" t="s">
        <v>41</v>
      </c>
      <c r="Z2" s="45"/>
      <c r="AA2" s="45"/>
      <c r="AB2" s="45"/>
      <c r="AC2" s="45"/>
      <c r="AD2" s="47"/>
      <c r="AE2" s="48"/>
      <c r="AF2" s="48"/>
      <c r="AG2" s="49"/>
    </row>
    <row r="3" spans="1:256" ht="15" thickBot="1" x14ac:dyDescent="0.35">
      <c r="A3" s="38" t="s">
        <v>19</v>
      </c>
      <c r="D3" s="415">
        <f>Wedstrijden!I2</f>
        <v>45732</v>
      </c>
      <c r="E3" s="416"/>
      <c r="F3" s="416"/>
      <c r="G3" s="416"/>
      <c r="H3" s="416"/>
      <c r="I3" s="416"/>
      <c r="J3" s="416"/>
      <c r="K3" s="416"/>
      <c r="L3" s="416"/>
      <c r="M3" s="416"/>
      <c r="N3" s="417"/>
      <c r="P3" s="50" t="s">
        <v>18</v>
      </c>
      <c r="Q3" s="51" t="s">
        <v>43</v>
      </c>
      <c r="W3" s="38" t="s">
        <v>0</v>
      </c>
      <c r="Y3" s="51" t="s">
        <v>44</v>
      </c>
      <c r="AG3" s="52"/>
    </row>
    <row r="4" spans="1:256" x14ac:dyDescent="0.3">
      <c r="A4" s="38" t="s">
        <v>20</v>
      </c>
      <c r="D4" s="418">
        <v>10</v>
      </c>
      <c r="E4" s="418"/>
      <c r="F4" s="53"/>
      <c r="G4" s="419">
        <f>VLOOKUP(D4,Wedstrijden!A6:B57,2,0)</f>
        <v>0.61805555555555558</v>
      </c>
      <c r="H4" s="419"/>
      <c r="I4" s="419"/>
      <c r="J4" s="54" t="s">
        <v>16</v>
      </c>
      <c r="K4" s="419">
        <f>G4+AV1</f>
        <v>0.63194444444444442</v>
      </c>
      <c r="L4" s="419"/>
      <c r="M4" s="419"/>
      <c r="N4" s="53"/>
      <c r="P4" s="50" t="s">
        <v>17</v>
      </c>
      <c r="Q4" s="51" t="s">
        <v>45</v>
      </c>
      <c r="W4" s="38" t="s">
        <v>9</v>
      </c>
      <c r="Y4" s="51" t="s">
        <v>46</v>
      </c>
      <c r="AG4" s="52"/>
      <c r="BF4" s="406" t="s">
        <v>102</v>
      </c>
      <c r="BG4" s="407"/>
      <c r="BH4" s="407"/>
      <c r="BI4" s="408"/>
    </row>
    <row r="5" spans="1:256" x14ac:dyDescent="0.3">
      <c r="A5" s="38" t="s">
        <v>164</v>
      </c>
      <c r="D5" s="260" t="str">
        <f>VLOOKUP(D4,Wedstrijden!A6:D20,4,0)</f>
        <v>A</v>
      </c>
      <c r="P5" s="50" t="s">
        <v>10</v>
      </c>
      <c r="Q5" s="51" t="s">
        <v>47</v>
      </c>
      <c r="W5" s="38" t="s">
        <v>12</v>
      </c>
      <c r="Y5" s="51" t="s">
        <v>48</v>
      </c>
      <c r="AG5" s="52"/>
      <c r="BF5" s="409"/>
      <c r="BG5" s="410"/>
      <c r="BH5" s="410"/>
      <c r="BI5" s="411"/>
    </row>
    <row r="6" spans="1:256" ht="14.4" thickBot="1" x14ac:dyDescent="0.2">
      <c r="A6" s="38" t="s">
        <v>21</v>
      </c>
      <c r="D6" s="55" t="str">
        <f>Wedstrijden!K2</f>
        <v>Den Bosch</v>
      </c>
      <c r="P6" s="50" t="s">
        <v>11</v>
      </c>
      <c r="Q6" s="51" t="s">
        <v>49</v>
      </c>
      <c r="W6" s="38" t="s">
        <v>13</v>
      </c>
      <c r="Y6" s="51" t="s">
        <v>50</v>
      </c>
      <c r="AG6" s="52"/>
      <c r="AH6" s="354" t="s">
        <v>51</v>
      </c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BF6" s="412"/>
      <c r="BG6" s="413"/>
      <c r="BH6" s="413"/>
      <c r="BI6" s="414"/>
    </row>
    <row r="7" spans="1:256" x14ac:dyDescent="0.2">
      <c r="A7" s="56" t="s">
        <v>52</v>
      </c>
      <c r="B7" s="57"/>
      <c r="C7" s="57"/>
      <c r="D7" s="57"/>
      <c r="E7" s="58" t="s">
        <v>53</v>
      </c>
      <c r="F7" s="57"/>
      <c r="G7" s="59" t="str">
        <f>VLOOKUP(D4,Wedstrijden!A6:L57,5,0)</f>
        <v>Aqua Novio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 t="s">
        <v>54</v>
      </c>
      <c r="X7" s="57"/>
      <c r="Y7" s="57"/>
      <c r="Z7" s="58" t="s">
        <v>55</v>
      </c>
      <c r="AA7" s="58"/>
      <c r="AB7" s="57"/>
      <c r="AC7" s="59" t="str">
        <f>VLOOKUP(D4,Wedstrijden!A6:L57,9,0)</f>
        <v>Gesposs Blauw</v>
      </c>
      <c r="AD7" s="60"/>
      <c r="AE7" s="61"/>
      <c r="AF7" s="61"/>
      <c r="AG7" s="61"/>
      <c r="AH7" s="61"/>
      <c r="AI7" s="61"/>
      <c r="AJ7" s="57"/>
      <c r="AK7" s="57"/>
      <c r="AL7" s="57"/>
      <c r="AM7" s="57"/>
      <c r="AN7" s="57"/>
      <c r="AO7" s="61"/>
      <c r="AP7" s="57"/>
      <c r="AQ7" s="57"/>
      <c r="AR7" s="62"/>
    </row>
    <row r="8" spans="1:256" x14ac:dyDescent="0.3">
      <c r="A8" s="63" t="s">
        <v>56</v>
      </c>
      <c r="B8" s="64"/>
      <c r="C8" s="64"/>
      <c r="D8" s="64"/>
      <c r="E8" s="64"/>
      <c r="F8" s="64"/>
      <c r="G8" s="64"/>
      <c r="H8" s="64"/>
      <c r="I8" s="64"/>
      <c r="J8" s="65" t="str">
        <f>VLOOKUP(D4,Wedstrijden!A6:P343,13,0)</f>
        <v>Dolf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 t="s">
        <v>57</v>
      </c>
      <c r="X8" s="64"/>
      <c r="Y8" s="64"/>
      <c r="Z8" s="66" t="str">
        <f>VLOOKUP(D4,Wedstrijden!A6:N170,14,0)</f>
        <v>Juriaan</v>
      </c>
      <c r="AA8" s="64"/>
      <c r="AB8" s="64"/>
      <c r="AC8" s="64"/>
      <c r="AD8" s="67"/>
      <c r="AE8" s="68"/>
      <c r="AF8" s="68"/>
      <c r="AG8" s="68"/>
      <c r="AH8" s="68"/>
      <c r="AI8" s="68"/>
      <c r="AJ8" s="69" t="s">
        <v>17</v>
      </c>
      <c r="AK8" s="64"/>
      <c r="AL8" s="64"/>
      <c r="AM8" s="64"/>
      <c r="AN8" s="64"/>
      <c r="AO8" s="68"/>
      <c r="AP8" s="64"/>
      <c r="AQ8" s="64"/>
      <c r="AR8" s="70"/>
    </row>
    <row r="9" spans="1:256" ht="14.4" thickBot="1" x14ac:dyDescent="0.35">
      <c r="A9" s="71" t="s">
        <v>58</v>
      </c>
      <c r="B9" s="72"/>
      <c r="C9" s="72"/>
      <c r="D9" s="72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 t="s">
        <v>59</v>
      </c>
      <c r="X9" s="72"/>
      <c r="Y9" s="72"/>
      <c r="Z9" s="72"/>
      <c r="AA9" s="72"/>
      <c r="AB9" s="73"/>
      <c r="AC9" s="73"/>
      <c r="AD9" s="75"/>
      <c r="AE9" s="76"/>
      <c r="AF9" s="76"/>
      <c r="AG9" s="76"/>
      <c r="AH9" s="76"/>
      <c r="AI9" s="76"/>
      <c r="AJ9" s="73"/>
      <c r="AK9" s="73"/>
      <c r="AL9" s="73"/>
      <c r="AM9" s="73"/>
      <c r="AN9" s="73"/>
      <c r="AO9" s="76"/>
      <c r="AP9" s="73"/>
      <c r="AQ9" s="73"/>
      <c r="AR9" s="77"/>
    </row>
    <row r="10" spans="1:256" ht="15" x14ac:dyDescent="0.3">
      <c r="A10" s="78" t="s">
        <v>60</v>
      </c>
      <c r="B10" s="79"/>
      <c r="C10" s="79"/>
      <c r="D10" s="79"/>
      <c r="E10" s="79"/>
      <c r="F10" s="356" t="str">
        <f>+G7</f>
        <v>Aqua Novio</v>
      </c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7"/>
      <c r="Z10" s="362" t="s">
        <v>8</v>
      </c>
      <c r="AA10" s="363"/>
      <c r="AB10" s="363"/>
      <c r="AC10" s="363"/>
      <c r="AD10" s="364"/>
      <c r="AE10" s="80"/>
      <c r="AF10" s="80"/>
      <c r="AG10" s="80"/>
      <c r="AH10" s="80" t="s">
        <v>61</v>
      </c>
      <c r="AI10" s="80" t="s">
        <v>61</v>
      </c>
      <c r="AJ10" s="371" t="s">
        <v>14</v>
      </c>
      <c r="AK10" s="372"/>
      <c r="AL10" s="377" t="s">
        <v>62</v>
      </c>
      <c r="AM10" s="378"/>
      <c r="AN10" s="383" t="s">
        <v>15</v>
      </c>
      <c r="AO10" s="384"/>
      <c r="AP10" s="384"/>
      <c r="AQ10" s="384"/>
      <c r="AR10" s="385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2" t="s">
        <v>136</v>
      </c>
      <c r="BL10" s="82" t="str">
        <f>CONCATENATE($BL$12&amp;BK10&amp;"x")</f>
        <v>swwx</v>
      </c>
      <c r="BM10" s="82" t="str">
        <f>CONCATENATE($BM$12&amp;BK10&amp;"x")</f>
        <v>dwx</v>
      </c>
      <c r="BN10" s="82" t="str">
        <f>CONCATENATE($BN$12&amp;BK10&amp;"x")</f>
        <v>pwx</v>
      </c>
      <c r="BO10" s="82" t="str">
        <f>CONCATENATE($BO$12&amp;BK10&amp;"x")</f>
        <v>umvwx</v>
      </c>
      <c r="BP10" s="82" t="str">
        <f>CONCATENATE($BP$12&amp;BK10&amp;"x")</f>
        <v>uzvwx</v>
      </c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1" spans="1:256" x14ac:dyDescent="0.3">
      <c r="A11" s="393" t="s">
        <v>7</v>
      </c>
      <c r="B11" s="394"/>
      <c r="C11" s="394"/>
      <c r="D11" s="394"/>
      <c r="E11" s="81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  <c r="Z11" s="365"/>
      <c r="AA11" s="366"/>
      <c r="AB11" s="366"/>
      <c r="AC11" s="366"/>
      <c r="AD11" s="367"/>
      <c r="AE11" s="83" t="s">
        <v>63</v>
      </c>
      <c r="AF11" s="83"/>
      <c r="AG11" s="83"/>
      <c r="AH11" s="83" t="s">
        <v>64</v>
      </c>
      <c r="AI11" s="83" t="s">
        <v>65</v>
      </c>
      <c r="AJ11" s="373"/>
      <c r="AK11" s="374"/>
      <c r="AL11" s="379"/>
      <c r="AM11" s="380"/>
      <c r="AN11" s="386"/>
      <c r="AO11" s="387"/>
      <c r="AP11" s="387"/>
      <c r="AQ11" s="387"/>
      <c r="AR11" s="388"/>
      <c r="AS11" s="81"/>
      <c r="AT11" s="81"/>
      <c r="AU11" s="81" t="s">
        <v>17</v>
      </c>
      <c r="AV11" s="81" t="s">
        <v>18</v>
      </c>
      <c r="AW11" s="81" t="s">
        <v>77</v>
      </c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2" t="s">
        <v>142</v>
      </c>
      <c r="BL11" s="82" t="str">
        <f>CONCATENATE($BL$12&amp;BK11&amp;"x")</f>
        <v>swbx</v>
      </c>
      <c r="BM11" s="82" t="str">
        <f>CONCATENATE($BM$12&amp;BK11&amp;"x")</f>
        <v>dbx</v>
      </c>
      <c r="BN11" s="82" t="str">
        <f>CONCATENATE($BN$12&amp;BK11&amp;"x")</f>
        <v>pbx</v>
      </c>
      <c r="BO11" s="82" t="str">
        <f>CONCATENATE($BO$12&amp;BK11&amp;"x")</f>
        <v>umvbx</v>
      </c>
      <c r="BP11" s="82" t="str">
        <f>CONCATENATE($BP$12&amp;BK11&amp;"x")</f>
        <v>uzvbx</v>
      </c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</row>
    <row r="12" spans="1:256" ht="18" x14ac:dyDescent="0.35">
      <c r="A12" s="395"/>
      <c r="B12" s="396"/>
      <c r="C12" s="396"/>
      <c r="D12" s="394"/>
      <c r="E12" s="81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1"/>
      <c r="Z12" s="368"/>
      <c r="AA12" s="369"/>
      <c r="AB12" s="369"/>
      <c r="AC12" s="369"/>
      <c r="AD12" s="370"/>
      <c r="AE12" s="84" t="s">
        <v>17</v>
      </c>
      <c r="AF12" s="84" t="s">
        <v>10</v>
      </c>
      <c r="AG12" s="84" t="s">
        <v>11</v>
      </c>
      <c r="AH12" s="84" t="s">
        <v>66</v>
      </c>
      <c r="AI12" s="84" t="s">
        <v>66</v>
      </c>
      <c r="AJ12" s="375"/>
      <c r="AK12" s="376"/>
      <c r="AL12" s="381"/>
      <c r="AM12" s="382"/>
      <c r="AN12" s="389" t="s">
        <v>17</v>
      </c>
      <c r="AO12" s="369"/>
      <c r="AP12" s="85"/>
      <c r="AQ12" s="369" t="s">
        <v>18</v>
      </c>
      <c r="AR12" s="390"/>
      <c r="AS12" s="81"/>
      <c r="AT12" s="81"/>
      <c r="AU12" s="81" t="s">
        <v>78</v>
      </c>
      <c r="AV12" s="81" t="s">
        <v>79</v>
      </c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 t="s">
        <v>138</v>
      </c>
      <c r="BM12" s="81" t="s">
        <v>139</v>
      </c>
      <c r="BN12" s="81" t="s">
        <v>79</v>
      </c>
      <c r="BO12" s="81" t="s">
        <v>140</v>
      </c>
      <c r="BP12" s="81" t="s">
        <v>141</v>
      </c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</row>
    <row r="13" spans="1:256" ht="15.6" x14ac:dyDescent="0.3">
      <c r="A13" s="86" t="s">
        <v>0</v>
      </c>
      <c r="B13" s="87" t="s">
        <v>1</v>
      </c>
      <c r="C13" s="88"/>
      <c r="D13" s="89"/>
      <c r="E13" s="88" t="s">
        <v>2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90"/>
      <c r="V13" s="91" t="s">
        <v>3</v>
      </c>
      <c r="W13" s="91" t="s">
        <v>4</v>
      </c>
      <c r="X13" s="91" t="s">
        <v>5</v>
      </c>
      <c r="Y13" s="92" t="s">
        <v>6</v>
      </c>
      <c r="Z13" s="93"/>
      <c r="AA13" s="94">
        <v>1</v>
      </c>
      <c r="AB13" s="95" t="s">
        <v>16</v>
      </c>
      <c r="AC13" s="94">
        <v>1</v>
      </c>
      <c r="AD13" s="96">
        <v>6</v>
      </c>
      <c r="AE13" s="97"/>
      <c r="AF13" s="97"/>
      <c r="AG13" s="98" t="s">
        <v>265</v>
      </c>
      <c r="AH13" s="99"/>
      <c r="AI13" s="99"/>
      <c r="AJ13" s="391" t="s">
        <v>18</v>
      </c>
      <c r="AK13" s="392"/>
      <c r="AL13" s="401">
        <v>9</v>
      </c>
      <c r="AM13" s="402"/>
      <c r="AN13" s="100"/>
      <c r="AO13" s="101">
        <f>IF(BQ13="","",IF(BQ13=$BL$10,"2"+AO1,IF(BQ13=$BM$10,"1"+AO1,IF(BQ13=$BN$10,"0"+AO1,IF(BQ13=$BO$10,"0"+AO1,IF(BQ13=$BP$10,"0"+AO1,"0"+AO1))))))</f>
        <v>0</v>
      </c>
      <c r="AP13" s="95" t="s">
        <v>16</v>
      </c>
      <c r="AQ13" s="102"/>
      <c r="AR13" s="103">
        <f>IF(BQ13="","",IF(BQ13=$BL$11,"2"+AR1,IF(BQ13=$BM$11,"1"+AR1,IF(BQ13=$BN$11,"0"+AR1,IF(BQ13=$BO$11,"0"+AR1,IF(BQ13=$BP$11,"0"+AR1,"0"+AR1))))))</f>
        <v>1</v>
      </c>
      <c r="AY13" s="38" t="str">
        <f>CONCATENATE(AJ13&amp;AL13)</f>
        <v>B9</v>
      </c>
      <c r="AZ13" s="38" t="str">
        <f>IF(AE13=$AW$11,"2","0")</f>
        <v>0</v>
      </c>
      <c r="BA13" s="38" t="str">
        <f>IF(AG13=$AW$11,"1","0")</f>
        <v>1</v>
      </c>
      <c r="BB13" s="38" t="str">
        <f>IF(AF13=$AW$11,"1","0")</f>
        <v>0</v>
      </c>
      <c r="BC13" s="38">
        <f>AZ13+BA13</f>
        <v>1</v>
      </c>
      <c r="BD13" s="38">
        <f>BB13+0</f>
        <v>0</v>
      </c>
      <c r="BL13" s="38" t="str">
        <f>IF(AE13="","",CONCATENATE($BL$12&amp;AJ13&amp;AE13))</f>
        <v/>
      </c>
      <c r="BM13" s="38" t="str">
        <f>IF(AG13="","",CONCATENATE($BM$12&amp;AJ13&amp;AG13))</f>
        <v>dBX</v>
      </c>
      <c r="BN13" s="38" t="str">
        <f>IF(AF13="","",CONCATENATE($BN$12&amp;AJ13,AF13))</f>
        <v/>
      </c>
      <c r="BO13" s="38" t="str">
        <f>IF(AH13="","",CONCATENATE($BO$12&amp;AJ13&amp;AH13))</f>
        <v/>
      </c>
      <c r="BP13" s="38" t="str">
        <f>IF(AI13="","",CONCATENATE($BP$12&amp;AJ13&amp;AI13))</f>
        <v/>
      </c>
      <c r="BQ13" s="38" t="str">
        <f>CONCATENATE(BL13&amp;BM13&amp;BN13&amp;BO13&amp;BP13)</f>
        <v>dBX</v>
      </c>
    </row>
    <row r="14" spans="1:256" ht="15.6" x14ac:dyDescent="0.3">
      <c r="A14" s="104" t="s">
        <v>265</v>
      </c>
      <c r="B14" s="397">
        <f>IF(ISBLANK(HLOOKUP($F$10,spelerslijsten!$B$1:$J$22,4,FALSE)),"",HLOOKUP($F$10,spelerslijsten!$B$1:$J$22,4,FALSE))</f>
        <v>2</v>
      </c>
      <c r="C14" s="398"/>
      <c r="D14" s="105"/>
      <c r="E14" s="106" t="str">
        <f>IF(ISBLANK(HLOOKUP($F$10,spelerslijsten!$B$1:$J$22,3,FALSE)),"",HLOOKUP($F$10,spelerslijsten!$B$1:$J$22,3,FALSE))</f>
        <v>Jop van Weel</v>
      </c>
      <c r="F14" s="107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8">
        <f t="shared" ref="V14:V20" si="0">SUMIF($AY$13:$AY$46,AT14,$BC$13:$BC$46)</f>
        <v>0</v>
      </c>
      <c r="W14" s="109" t="str">
        <f>IF(AU14&gt;0,"x","")</f>
        <v/>
      </c>
      <c r="X14" s="110" t="str">
        <f>IF(AU14&gt;1,"x","")</f>
        <v/>
      </c>
      <c r="Y14" s="103" t="str">
        <f>IF(AU14&gt;2,"x","")</f>
        <v/>
      </c>
      <c r="Z14" s="111"/>
      <c r="AA14" s="112">
        <v>2</v>
      </c>
      <c r="AB14" s="113" t="str">
        <f>+AB13</f>
        <v>-</v>
      </c>
      <c r="AC14" s="112">
        <v>3</v>
      </c>
      <c r="AD14" s="114">
        <v>9</v>
      </c>
      <c r="AE14" s="115"/>
      <c r="AF14" s="115"/>
      <c r="AG14" s="116" t="s">
        <v>265</v>
      </c>
      <c r="AH14" s="117"/>
      <c r="AI14" s="117"/>
      <c r="AJ14" s="342" t="s">
        <v>18</v>
      </c>
      <c r="AK14" s="343"/>
      <c r="AL14" s="346">
        <v>7</v>
      </c>
      <c r="AM14" s="347"/>
      <c r="AN14" s="118"/>
      <c r="AO14" s="101">
        <f>IF(BQ14="","",IF(BQ14=$BL$10,"2"+AO13,IF(BQ14=$BM$10,"1"+AO13,IF(BQ14=$BN$10,"0"+AO13,IF(BQ14=$BO$10,"0"+AO13,IF(BQ14=$BP$10,"0"+AO13,"0"+AO13))))))</f>
        <v>0</v>
      </c>
      <c r="AP14" s="113" t="str">
        <f>+AP13</f>
        <v>-</v>
      </c>
      <c r="AQ14" s="119"/>
      <c r="AR14" s="103">
        <f>IF(BQ14="","",IF(BQ14=$BL$11,"2"+AR13,IF(BQ14=$BM$11,"1"+AR13,IF(BQ14=$BN$11,"0"+AR13,IF(BQ14=$BO$11,"0"+AR13,IF(BQ14=$BP$11,"0"+AR13,"0"+AR13))))))</f>
        <v>2</v>
      </c>
      <c r="AT14" s="38" t="str">
        <f>CONCATENATE($AU$11&amp;B14)</f>
        <v>W2</v>
      </c>
      <c r="AU14" s="38">
        <f>SUMIF($AY$13:$AY$46,AT14,$BD$13:$BD$46)</f>
        <v>0</v>
      </c>
      <c r="AY14" s="38" t="str">
        <f t="shared" ref="AY14:AY46" si="1">CONCATENATE(AJ14&amp;AL14)</f>
        <v>B7</v>
      </c>
      <c r="AZ14" s="38" t="str">
        <f t="shared" ref="AZ14:AZ46" si="2">IF(AE14=$AW$11,"2","0")</f>
        <v>0</v>
      </c>
      <c r="BA14" s="38" t="str">
        <f t="shared" ref="BA14:BA46" si="3">IF(AG14=$AW$11,"1","0")</f>
        <v>1</v>
      </c>
      <c r="BB14" s="38" t="str">
        <f t="shared" ref="BB14:BB46" si="4">IF(AF14=$AW$11,"1","0")</f>
        <v>0</v>
      </c>
      <c r="BC14" s="38">
        <f t="shared" ref="BC14:BC46" si="5">AZ14+BA14</f>
        <v>1</v>
      </c>
      <c r="BD14" s="38">
        <f t="shared" ref="BD14:BD46" si="6">BB14+0</f>
        <v>0</v>
      </c>
      <c r="BL14" s="38" t="str">
        <f t="shared" ref="BL14:BL46" si="7">IF(AE14="","",CONCATENATE($BL$12&amp;AJ14&amp;AE14))</f>
        <v/>
      </c>
      <c r="BM14" s="38" t="str">
        <f t="shared" ref="BM14:BM46" si="8">IF(AG14="","",CONCATENATE($BM$12&amp;AJ14&amp;AG14))</f>
        <v>dBX</v>
      </c>
      <c r="BN14" s="38" t="str">
        <f t="shared" ref="BN14:BN46" si="9">IF(AF14="","",CONCATENATE($BN$12&amp;AJ14,AF14))</f>
        <v/>
      </c>
      <c r="BO14" s="38" t="str">
        <f t="shared" ref="BO14:BO46" si="10">IF(AH14="","",CONCATENATE($BO$12&amp;AJ14&amp;AH14))</f>
        <v/>
      </c>
      <c r="BP14" s="38" t="str">
        <f t="shared" ref="BP14:BP46" si="11">IF(AI14="","",CONCATENATE($BP$12&amp;AJ14&amp;AI14))</f>
        <v/>
      </c>
      <c r="BQ14" s="38" t="str">
        <f t="shared" ref="BQ14:BQ46" si="12">CONCATENATE(BL14&amp;BM14&amp;BN14&amp;BO14&amp;BP14)</f>
        <v>dBX</v>
      </c>
    </row>
    <row r="15" spans="1:256" ht="15.6" x14ac:dyDescent="0.3">
      <c r="A15" s="120" t="s">
        <v>265</v>
      </c>
      <c r="B15" s="397">
        <f>IF(ISBLANK(HLOOKUP($F$10,spelerslijsten!$B$1:$J$22,6,FALSE)),"",HLOOKUP($F$10,spelerslijsten!$B$1:$J$22,6,FALSE))</f>
        <v>3</v>
      </c>
      <c r="C15" s="398"/>
      <c r="D15" s="121"/>
      <c r="E15" s="122" t="str">
        <f>IF(ISBLANK(HLOOKUP($F$10,spelerslijsten!$B$1:$J$22,5,FALSE)),"",HLOOKUP($F$10,spelerslijsten!$B$1:$J$22,5,FALSE))</f>
        <v>Collin Bijnen</v>
      </c>
      <c r="F15" s="123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08">
        <f t="shared" si="0"/>
        <v>0</v>
      </c>
      <c r="W15" s="109" t="str">
        <f t="shared" ref="W15:W23" si="13">IF(AU15&gt;0,"x","")</f>
        <v/>
      </c>
      <c r="X15" s="110" t="str">
        <f t="shared" ref="X15:X23" si="14">IF(AU15&gt;1,"x","")</f>
        <v/>
      </c>
      <c r="Y15" s="103" t="str">
        <f t="shared" ref="Y15:Y23" si="15">IF(AU15&gt;2,"x","")</f>
        <v/>
      </c>
      <c r="Z15" s="111"/>
      <c r="AA15" s="112">
        <v>3</v>
      </c>
      <c r="AB15" s="113" t="str">
        <f t="shared" ref="AB15:AB44" si="16">+AB14</f>
        <v>-</v>
      </c>
      <c r="AC15" s="112">
        <v>1</v>
      </c>
      <c r="AD15" s="114">
        <v>8</v>
      </c>
      <c r="AE15" s="115"/>
      <c r="AF15" s="115"/>
      <c r="AG15" s="116" t="s">
        <v>265</v>
      </c>
      <c r="AH15" s="117"/>
      <c r="AI15" s="117"/>
      <c r="AJ15" s="342" t="s">
        <v>18</v>
      </c>
      <c r="AK15" s="343"/>
      <c r="AL15" s="346">
        <v>8</v>
      </c>
      <c r="AM15" s="347"/>
      <c r="AN15" s="118"/>
      <c r="AO15" s="101">
        <f>IF(BQ15="","",IF(BQ15=$BL$10,"2"+AO14,IF(BQ15=$BM$10,"1"+AO14,IF(BQ15=$BN$10,"0"+AO14,IF(BQ15=$BO$10,"0"+AO14,IF(BQ15=$BP$10,"0"+AO14,"0"+AO14))))))</f>
        <v>0</v>
      </c>
      <c r="AP15" s="113" t="str">
        <f>+AP14</f>
        <v>-</v>
      </c>
      <c r="AQ15" s="119"/>
      <c r="AR15" s="103">
        <f>IF(BQ15="","",IF(BQ15=$BL$11,"2"+AR14,IF(BQ15=$BM$11,"1"+AR14,IF(BQ15=$BN$11,"0"+AR14,IF(BQ15=$BO$11,"0"+AR14,IF(BQ15=$BP$11,"0"+AR14,"0"+AR14))))))</f>
        <v>3</v>
      </c>
      <c r="AT15" s="38" t="str">
        <f t="shared" ref="AT15:AT23" si="17">CONCATENATE($AU$11&amp;B15)</f>
        <v>W3</v>
      </c>
      <c r="AU15" s="38">
        <f t="shared" ref="AU15:AU39" si="18">SUMIF($AY$13:$AY$46,AT15,$BD$13:$BD$46)</f>
        <v>0</v>
      </c>
      <c r="AY15" s="38" t="str">
        <f t="shared" si="1"/>
        <v>B8</v>
      </c>
      <c r="AZ15" s="38" t="str">
        <f t="shared" si="2"/>
        <v>0</v>
      </c>
      <c r="BA15" s="38" t="str">
        <f t="shared" si="3"/>
        <v>1</v>
      </c>
      <c r="BB15" s="38" t="str">
        <f t="shared" si="4"/>
        <v>0</v>
      </c>
      <c r="BC15" s="38">
        <f t="shared" si="5"/>
        <v>1</v>
      </c>
      <c r="BD15" s="38">
        <f t="shared" si="6"/>
        <v>0</v>
      </c>
      <c r="BL15" s="38" t="str">
        <f t="shared" si="7"/>
        <v/>
      </c>
      <c r="BM15" s="38" t="str">
        <f t="shared" si="8"/>
        <v>dBX</v>
      </c>
      <c r="BN15" s="38" t="str">
        <f t="shared" si="9"/>
        <v/>
      </c>
      <c r="BO15" s="38" t="str">
        <f t="shared" si="10"/>
        <v/>
      </c>
      <c r="BP15" s="38" t="str">
        <f t="shared" si="11"/>
        <v/>
      </c>
      <c r="BQ15" s="38" t="str">
        <f t="shared" si="12"/>
        <v>dBX</v>
      </c>
    </row>
    <row r="16" spans="1:256" ht="15.6" x14ac:dyDescent="0.3">
      <c r="A16" s="124" t="s">
        <v>265</v>
      </c>
      <c r="B16" s="397">
        <f>IF(ISBLANK(HLOOKUP($F$10,spelerslijsten!$B$1:$J$22,8,FALSE)),"",HLOOKUP($F$10,spelerslijsten!$B$1:$J$22,8,FALSE))</f>
        <v>4</v>
      </c>
      <c r="C16" s="398"/>
      <c r="D16" s="121"/>
      <c r="E16" s="122" t="str">
        <f>IF(ISBLANK(HLOOKUP($F$10,spelerslijsten!$B$1:$J$22,7,FALSE)),"",HLOOKUP($F$10,spelerslijsten!$B$1:$J$22,7,FALSE))</f>
        <v>Lorenz Gerritz</v>
      </c>
      <c r="F16" s="12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08">
        <f t="shared" si="0"/>
        <v>0</v>
      </c>
      <c r="W16" s="109" t="str">
        <f t="shared" si="13"/>
        <v/>
      </c>
      <c r="X16" s="110" t="str">
        <f t="shared" si="14"/>
        <v/>
      </c>
      <c r="Y16" s="103" t="str">
        <f t="shared" si="15"/>
        <v/>
      </c>
      <c r="Z16" s="111"/>
      <c r="AA16" s="112">
        <v>4</v>
      </c>
      <c r="AB16" s="113" t="str">
        <f t="shared" si="16"/>
        <v>-</v>
      </c>
      <c r="AC16" s="112">
        <v>3</v>
      </c>
      <c r="AD16" s="114">
        <v>4</v>
      </c>
      <c r="AE16" s="115"/>
      <c r="AF16" s="115"/>
      <c r="AG16" s="116" t="s">
        <v>265</v>
      </c>
      <c r="AH16" s="117"/>
      <c r="AI16" s="117"/>
      <c r="AJ16" s="342" t="s">
        <v>17</v>
      </c>
      <c r="AK16" s="343"/>
      <c r="AL16" s="346">
        <v>12</v>
      </c>
      <c r="AM16" s="347"/>
      <c r="AN16" s="118"/>
      <c r="AO16" s="101">
        <f t="shared" ref="AO16:AO46" si="19">IF(BQ16="","",IF(BQ16=$BL$10,"2"+AO15,IF(BQ16=$BM$10,"1"+AO15,IF(BQ16=$BN$10,"0"+AO15,IF(BQ16=$BO$10,"0"+AO15,IF(BQ16=$BP$10,"0"+AO15,"0"+AO15))))))</f>
        <v>1</v>
      </c>
      <c r="AP16" s="113" t="str">
        <f t="shared" ref="AP16:AP46" si="20">+AP15</f>
        <v>-</v>
      </c>
      <c r="AQ16" s="119"/>
      <c r="AR16" s="103">
        <f t="shared" ref="AR16:AR46" si="21">IF(BQ16="","",IF(BQ16=$BL$11,"2"+AR15,IF(BQ16=$BM$11,"1"+AR15,IF(BQ16=$BN$11,"0"+AR15,IF(BQ16=$BO$11,"0"+AR15,IF(BQ16=$BP$11,"0"+AR15,"0"+AR15))))))</f>
        <v>3</v>
      </c>
      <c r="AT16" s="38" t="str">
        <f t="shared" si="17"/>
        <v>W4</v>
      </c>
      <c r="AU16" s="38">
        <f t="shared" si="18"/>
        <v>0</v>
      </c>
      <c r="AY16" s="38" t="str">
        <f t="shared" si="1"/>
        <v>W12</v>
      </c>
      <c r="AZ16" s="38" t="str">
        <f t="shared" si="2"/>
        <v>0</v>
      </c>
      <c r="BA16" s="38" t="str">
        <f t="shared" si="3"/>
        <v>1</v>
      </c>
      <c r="BB16" s="38" t="str">
        <f t="shared" si="4"/>
        <v>0</v>
      </c>
      <c r="BC16" s="38">
        <f t="shared" si="5"/>
        <v>1</v>
      </c>
      <c r="BD16" s="38">
        <f t="shared" si="6"/>
        <v>0</v>
      </c>
      <c r="BL16" s="38" t="str">
        <f t="shared" si="7"/>
        <v/>
      </c>
      <c r="BM16" s="38" t="str">
        <f t="shared" si="8"/>
        <v>dWX</v>
      </c>
      <c r="BN16" s="38" t="str">
        <f t="shared" si="9"/>
        <v/>
      </c>
      <c r="BO16" s="38" t="str">
        <f t="shared" si="10"/>
        <v/>
      </c>
      <c r="BP16" s="38" t="str">
        <f t="shared" si="11"/>
        <v/>
      </c>
      <c r="BQ16" s="38" t="str">
        <f t="shared" si="12"/>
        <v>dWX</v>
      </c>
    </row>
    <row r="17" spans="1:69" ht="15.6" x14ac:dyDescent="0.3">
      <c r="A17" s="124" t="s">
        <v>265</v>
      </c>
      <c r="B17" s="397">
        <f>IF(ISBLANK(HLOOKUP($F$10,spelerslijsten!$B$1:$J$22,10,FALSE)),"",HLOOKUP($F$10,spelerslijsten!$B$1:$J$22,10,FALSE))</f>
        <v>5</v>
      </c>
      <c r="C17" s="398"/>
      <c r="D17" s="121"/>
      <c r="E17" s="122" t="str">
        <f>IF(ISBLANK(HLOOKUP($F$10,spelerslijsten!$B$1:$J$22,9,FALSE)),"",HLOOKUP($F$10,spelerslijsten!$B$1:$J$22,9,FALSE))</f>
        <v>Maritz</v>
      </c>
      <c r="F17" s="12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08">
        <f t="shared" si="0"/>
        <v>2</v>
      </c>
      <c r="W17" s="109" t="str">
        <f t="shared" si="13"/>
        <v/>
      </c>
      <c r="X17" s="110" t="str">
        <f t="shared" si="14"/>
        <v/>
      </c>
      <c r="Y17" s="103" t="str">
        <f t="shared" si="15"/>
        <v/>
      </c>
      <c r="Z17" s="111"/>
      <c r="AA17" s="112">
        <v>5</v>
      </c>
      <c r="AB17" s="113" t="str">
        <f t="shared" si="16"/>
        <v>-</v>
      </c>
      <c r="AC17" s="112">
        <v>0</v>
      </c>
      <c r="AD17" s="114">
        <v>1</v>
      </c>
      <c r="AE17" s="115"/>
      <c r="AF17" s="115"/>
      <c r="AG17" s="116" t="s">
        <v>265</v>
      </c>
      <c r="AH17" s="117"/>
      <c r="AI17" s="117"/>
      <c r="AJ17" s="342" t="s">
        <v>18</v>
      </c>
      <c r="AK17" s="343"/>
      <c r="AL17" s="346">
        <v>7</v>
      </c>
      <c r="AM17" s="347"/>
      <c r="AN17" s="118"/>
      <c r="AO17" s="101">
        <f t="shared" si="19"/>
        <v>1</v>
      </c>
      <c r="AP17" s="113" t="str">
        <f t="shared" si="20"/>
        <v>-</v>
      </c>
      <c r="AQ17" s="119"/>
      <c r="AR17" s="103">
        <f t="shared" si="21"/>
        <v>4</v>
      </c>
      <c r="AT17" s="38" t="str">
        <f t="shared" si="17"/>
        <v>W5</v>
      </c>
      <c r="AU17" s="38">
        <f t="shared" si="18"/>
        <v>0</v>
      </c>
      <c r="AY17" s="38" t="str">
        <f t="shared" si="1"/>
        <v>B7</v>
      </c>
      <c r="AZ17" s="38" t="str">
        <f t="shared" si="2"/>
        <v>0</v>
      </c>
      <c r="BA17" s="38" t="str">
        <f t="shared" si="3"/>
        <v>1</v>
      </c>
      <c r="BB17" s="38" t="str">
        <f t="shared" si="4"/>
        <v>0</v>
      </c>
      <c r="BC17" s="38">
        <f t="shared" si="5"/>
        <v>1</v>
      </c>
      <c r="BD17" s="38">
        <f t="shared" si="6"/>
        <v>0</v>
      </c>
      <c r="BL17" s="38" t="str">
        <f t="shared" si="7"/>
        <v/>
      </c>
      <c r="BM17" s="38" t="str">
        <f t="shared" si="8"/>
        <v>dBX</v>
      </c>
      <c r="BN17" s="38" t="str">
        <f t="shared" si="9"/>
        <v/>
      </c>
      <c r="BO17" s="38" t="str">
        <f t="shared" si="10"/>
        <v/>
      </c>
      <c r="BP17" s="38" t="str">
        <f t="shared" si="11"/>
        <v/>
      </c>
      <c r="BQ17" s="38" t="str">
        <f t="shared" si="12"/>
        <v>dBX</v>
      </c>
    </row>
    <row r="18" spans="1:69" ht="15.6" x14ac:dyDescent="0.3">
      <c r="A18" s="124" t="s">
        <v>265</v>
      </c>
      <c r="B18" s="397">
        <f>IF(ISBLANK(HLOOKUP($F$10,spelerslijsten!$B$1:$J$22,12,FALSE)),"",HLOOKUP($F$10,spelerslijsten!$B$1:$J$22,12,FALSE))</f>
        <v>7</v>
      </c>
      <c r="C18" s="398"/>
      <c r="D18" s="121"/>
      <c r="E18" s="122" t="str">
        <f>IF(ISBLANK(HLOOKUP($F$10,spelerslijsten!$B$1:$J$22,11,FALSE)),"",HLOOKUP($F$10,spelerslijsten!$B$1:$J$22,11,FALSE))</f>
        <v>Doan Tran Thi Tuc</v>
      </c>
      <c r="F18" s="12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08">
        <f t="shared" si="0"/>
        <v>0</v>
      </c>
      <c r="W18" s="109" t="str">
        <f t="shared" si="13"/>
        <v/>
      </c>
      <c r="X18" s="110" t="str">
        <f t="shared" si="14"/>
        <v/>
      </c>
      <c r="Y18" s="103" t="str">
        <f t="shared" si="15"/>
        <v/>
      </c>
      <c r="Z18" s="111"/>
      <c r="AA18" s="112">
        <v>5</v>
      </c>
      <c r="AB18" s="113" t="s">
        <v>16</v>
      </c>
      <c r="AC18" s="112">
        <v>4</v>
      </c>
      <c r="AD18" s="114">
        <v>2</v>
      </c>
      <c r="AE18" s="115"/>
      <c r="AF18" s="115"/>
      <c r="AG18" s="116" t="s">
        <v>265</v>
      </c>
      <c r="AH18" s="117"/>
      <c r="AI18" s="117"/>
      <c r="AJ18" s="342" t="s">
        <v>17</v>
      </c>
      <c r="AK18" s="343"/>
      <c r="AL18" s="346">
        <v>5</v>
      </c>
      <c r="AM18" s="347"/>
      <c r="AN18" s="118"/>
      <c r="AO18" s="101">
        <f t="shared" si="19"/>
        <v>2</v>
      </c>
      <c r="AP18" s="113" t="str">
        <f t="shared" si="20"/>
        <v>-</v>
      </c>
      <c r="AQ18" s="119"/>
      <c r="AR18" s="103">
        <f t="shared" si="21"/>
        <v>4</v>
      </c>
      <c r="AT18" s="38" t="str">
        <f t="shared" si="17"/>
        <v>W7</v>
      </c>
      <c r="AU18" s="38">
        <f t="shared" si="18"/>
        <v>0</v>
      </c>
      <c r="AY18" s="38" t="str">
        <f t="shared" si="1"/>
        <v>W5</v>
      </c>
      <c r="AZ18" s="38" t="str">
        <f t="shared" si="2"/>
        <v>0</v>
      </c>
      <c r="BA18" s="38" t="str">
        <f t="shared" si="3"/>
        <v>1</v>
      </c>
      <c r="BB18" s="38" t="str">
        <f t="shared" si="4"/>
        <v>0</v>
      </c>
      <c r="BC18" s="38">
        <f t="shared" si="5"/>
        <v>1</v>
      </c>
      <c r="BD18" s="38">
        <f t="shared" si="6"/>
        <v>0</v>
      </c>
      <c r="BL18" s="38" t="str">
        <f t="shared" si="7"/>
        <v/>
      </c>
      <c r="BM18" s="38" t="str">
        <f t="shared" si="8"/>
        <v>dWX</v>
      </c>
      <c r="BN18" s="38" t="str">
        <f t="shared" si="9"/>
        <v/>
      </c>
      <c r="BO18" s="38" t="str">
        <f t="shared" si="10"/>
        <v/>
      </c>
      <c r="BP18" s="38" t="str">
        <f t="shared" si="11"/>
        <v/>
      </c>
      <c r="BQ18" s="38" t="str">
        <f t="shared" si="12"/>
        <v>dWX</v>
      </c>
    </row>
    <row r="19" spans="1:69" ht="15.6" x14ac:dyDescent="0.3">
      <c r="A19" s="124"/>
      <c r="B19" s="397">
        <f>IF(ISBLANK(HLOOKUP($F$10,spelerslijsten!$B$1:$J$22,14,FALSE)),"",HLOOKUP($F$10,spelerslijsten!$B$1:$J$22,14,FALSE))</f>
        <v>8</v>
      </c>
      <c r="C19" s="398"/>
      <c r="D19" s="121"/>
      <c r="E19" s="122" t="str">
        <f>IF(ISBLANK(HLOOKUP($F$10,spelerslijsten!$B$1:$J$22,13,FALSE)),"",HLOOKUP($F$10,spelerslijsten!$B$1:$J$22,13,FALSE))</f>
        <v>Lisa</v>
      </c>
      <c r="F19" s="12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08">
        <f t="shared" si="0"/>
        <v>0</v>
      </c>
      <c r="W19" s="109" t="str">
        <f t="shared" si="13"/>
        <v/>
      </c>
      <c r="X19" s="110" t="str">
        <f t="shared" si="14"/>
        <v/>
      </c>
      <c r="Y19" s="103" t="str">
        <f t="shared" si="15"/>
        <v/>
      </c>
      <c r="Z19" s="111"/>
      <c r="AA19" s="112">
        <v>6</v>
      </c>
      <c r="AB19" s="113" t="str">
        <f t="shared" si="16"/>
        <v>-</v>
      </c>
      <c r="AC19" s="112">
        <v>5</v>
      </c>
      <c r="AD19" s="114">
        <v>8</v>
      </c>
      <c r="AE19" s="115"/>
      <c r="AF19" s="115"/>
      <c r="AG19" s="116" t="s">
        <v>265</v>
      </c>
      <c r="AH19" s="117"/>
      <c r="AI19" s="117"/>
      <c r="AJ19" s="342" t="s">
        <v>18</v>
      </c>
      <c r="AK19" s="343"/>
      <c r="AL19" s="346">
        <v>8</v>
      </c>
      <c r="AM19" s="347"/>
      <c r="AN19" s="118"/>
      <c r="AO19" s="101">
        <f t="shared" si="19"/>
        <v>2</v>
      </c>
      <c r="AP19" s="113" t="str">
        <f t="shared" si="20"/>
        <v>-</v>
      </c>
      <c r="AQ19" s="119"/>
      <c r="AR19" s="103">
        <f t="shared" si="21"/>
        <v>5</v>
      </c>
      <c r="AT19" s="38" t="str">
        <f t="shared" si="17"/>
        <v>W8</v>
      </c>
      <c r="AU19" s="38">
        <f t="shared" si="18"/>
        <v>0</v>
      </c>
      <c r="AY19" s="38" t="str">
        <f t="shared" si="1"/>
        <v>B8</v>
      </c>
      <c r="AZ19" s="38" t="str">
        <f t="shared" si="2"/>
        <v>0</v>
      </c>
      <c r="BA19" s="38" t="str">
        <f t="shared" si="3"/>
        <v>1</v>
      </c>
      <c r="BB19" s="38" t="str">
        <f t="shared" si="4"/>
        <v>0</v>
      </c>
      <c r="BC19" s="38">
        <f t="shared" si="5"/>
        <v>1</v>
      </c>
      <c r="BD19" s="38">
        <f t="shared" si="6"/>
        <v>0</v>
      </c>
      <c r="BL19" s="38" t="str">
        <f t="shared" si="7"/>
        <v/>
      </c>
      <c r="BM19" s="38" t="str">
        <f t="shared" si="8"/>
        <v>dBX</v>
      </c>
      <c r="BN19" s="38" t="str">
        <f t="shared" si="9"/>
        <v/>
      </c>
      <c r="BO19" s="38" t="str">
        <f t="shared" si="10"/>
        <v/>
      </c>
      <c r="BP19" s="38" t="str">
        <f t="shared" si="11"/>
        <v/>
      </c>
      <c r="BQ19" s="38" t="str">
        <f t="shared" si="12"/>
        <v>dBX</v>
      </c>
    </row>
    <row r="20" spans="1:69" ht="15.6" x14ac:dyDescent="0.3">
      <c r="A20" s="124" t="s">
        <v>265</v>
      </c>
      <c r="B20" s="397">
        <f>IF(ISBLANK(HLOOKUP($F$10,spelerslijsten!$B$1:$J$22,16,FALSE)),"",HLOOKUP($F$10,spelerslijsten!$B$1:$J$22,16,FALSE))</f>
        <v>9</v>
      </c>
      <c r="C20" s="398"/>
      <c r="D20" s="121"/>
      <c r="E20" s="122" t="str">
        <f>IF(ISBLANK(HLOOKUP($F$10,spelerslijsten!$B$1:$J$22,15,FALSE)),"",HLOOKUP($F$10,spelerslijsten!$B$1:$J$22,15,FALSE))</f>
        <v>Mo</v>
      </c>
      <c r="F20" s="12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08">
        <f t="shared" si="0"/>
        <v>0</v>
      </c>
      <c r="W20" s="109" t="str">
        <f t="shared" si="13"/>
        <v/>
      </c>
      <c r="X20" s="110" t="str">
        <f t="shared" si="14"/>
        <v/>
      </c>
      <c r="Y20" s="103" t="str">
        <f t="shared" si="15"/>
        <v/>
      </c>
      <c r="Z20" s="111"/>
      <c r="AA20" s="112">
        <v>7</v>
      </c>
      <c r="AB20" s="113" t="str">
        <f t="shared" si="16"/>
        <v>-</v>
      </c>
      <c r="AC20" s="112">
        <v>3</v>
      </c>
      <c r="AD20" s="114">
        <v>1</v>
      </c>
      <c r="AE20" s="115"/>
      <c r="AF20" s="115"/>
      <c r="AG20" s="116" t="s">
        <v>265</v>
      </c>
      <c r="AH20" s="117"/>
      <c r="AI20" s="117"/>
      <c r="AJ20" s="342" t="s">
        <v>18</v>
      </c>
      <c r="AK20" s="343"/>
      <c r="AL20" s="346">
        <v>8</v>
      </c>
      <c r="AM20" s="347"/>
      <c r="AN20" s="118"/>
      <c r="AO20" s="101">
        <f t="shared" si="19"/>
        <v>2</v>
      </c>
      <c r="AP20" s="113" t="str">
        <f t="shared" si="20"/>
        <v>-</v>
      </c>
      <c r="AQ20" s="119"/>
      <c r="AR20" s="103">
        <f t="shared" si="21"/>
        <v>6</v>
      </c>
      <c r="AT20" s="38" t="str">
        <f t="shared" si="17"/>
        <v>W9</v>
      </c>
      <c r="AU20" s="38">
        <f t="shared" si="18"/>
        <v>0</v>
      </c>
      <c r="AY20" s="38" t="str">
        <f t="shared" si="1"/>
        <v>B8</v>
      </c>
      <c r="AZ20" s="38" t="str">
        <f t="shared" si="2"/>
        <v>0</v>
      </c>
      <c r="BA20" s="38" t="str">
        <f t="shared" si="3"/>
        <v>1</v>
      </c>
      <c r="BB20" s="38" t="str">
        <f t="shared" si="4"/>
        <v>0</v>
      </c>
      <c r="BC20" s="38">
        <f t="shared" si="5"/>
        <v>1</v>
      </c>
      <c r="BD20" s="38">
        <f t="shared" si="6"/>
        <v>0</v>
      </c>
      <c r="BL20" s="38" t="str">
        <f t="shared" si="7"/>
        <v/>
      </c>
      <c r="BM20" s="38" t="str">
        <f t="shared" si="8"/>
        <v>dBX</v>
      </c>
      <c r="BN20" s="38" t="str">
        <f t="shared" si="9"/>
        <v/>
      </c>
      <c r="BO20" s="38" t="str">
        <f t="shared" si="10"/>
        <v/>
      </c>
      <c r="BP20" s="38" t="str">
        <f t="shared" si="11"/>
        <v/>
      </c>
      <c r="BQ20" s="38" t="str">
        <f t="shared" si="12"/>
        <v>dBX</v>
      </c>
    </row>
    <row r="21" spans="1:69" ht="15.6" x14ac:dyDescent="0.3">
      <c r="A21" s="124" t="s">
        <v>265</v>
      </c>
      <c r="B21" s="397">
        <f>IF(ISBLANK(HLOOKUP($F$10,spelerslijsten!$B$1:$J$22,18,FALSE)),"",HLOOKUP($F$10,spelerslijsten!$B$1:$J$22,18,FALSE))</f>
        <v>12</v>
      </c>
      <c r="C21" s="398"/>
      <c r="D21" s="121"/>
      <c r="E21" s="122" t="str">
        <f>IF(ISBLANK(HLOOKUP($F$10,spelerslijsten!$B$1:$J$22,17,FALSE)),"",HLOOKUP($F$10,spelerslijsten!$B$1:$J$22,17,FALSE))</f>
        <v>Siemen Pouwels</v>
      </c>
      <c r="F21" s="12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08">
        <f>SUMIF($AY$13:$AY$46,AT21,$BC$13:$BC$46)</f>
        <v>2</v>
      </c>
      <c r="W21" s="109" t="str">
        <f t="shared" si="13"/>
        <v/>
      </c>
      <c r="X21" s="110" t="str">
        <f t="shared" si="14"/>
        <v/>
      </c>
      <c r="Y21" s="103" t="str">
        <f t="shared" si="15"/>
        <v/>
      </c>
      <c r="Z21" s="111"/>
      <c r="AA21" s="112">
        <v>8</v>
      </c>
      <c r="AB21" s="113" t="str">
        <f t="shared" si="16"/>
        <v>-</v>
      </c>
      <c r="AC21" s="112">
        <v>1</v>
      </c>
      <c r="AD21" s="114">
        <v>8</v>
      </c>
      <c r="AE21" s="115"/>
      <c r="AF21" s="115"/>
      <c r="AG21" s="116" t="s">
        <v>265</v>
      </c>
      <c r="AH21" s="117"/>
      <c r="AI21" s="117"/>
      <c r="AJ21" s="342" t="s">
        <v>18</v>
      </c>
      <c r="AK21" s="343"/>
      <c r="AL21" s="346">
        <v>10</v>
      </c>
      <c r="AM21" s="347"/>
      <c r="AN21" s="118"/>
      <c r="AO21" s="101">
        <f t="shared" si="19"/>
        <v>2</v>
      </c>
      <c r="AP21" s="113" t="str">
        <f t="shared" si="20"/>
        <v>-</v>
      </c>
      <c r="AQ21" s="119"/>
      <c r="AR21" s="103">
        <f t="shared" si="21"/>
        <v>7</v>
      </c>
      <c r="AT21" s="38" t="str">
        <f t="shared" si="17"/>
        <v>W12</v>
      </c>
      <c r="AU21" s="38">
        <f t="shared" si="18"/>
        <v>0</v>
      </c>
      <c r="AY21" s="38" t="str">
        <f t="shared" si="1"/>
        <v>B10</v>
      </c>
      <c r="AZ21" s="38" t="str">
        <f t="shared" si="2"/>
        <v>0</v>
      </c>
      <c r="BA21" s="38" t="str">
        <f t="shared" si="3"/>
        <v>1</v>
      </c>
      <c r="BB21" s="38" t="str">
        <f t="shared" si="4"/>
        <v>0</v>
      </c>
      <c r="BC21" s="38">
        <f t="shared" si="5"/>
        <v>1</v>
      </c>
      <c r="BD21" s="38">
        <f t="shared" si="6"/>
        <v>0</v>
      </c>
      <c r="BL21" s="38" t="str">
        <f t="shared" si="7"/>
        <v/>
      </c>
      <c r="BM21" s="38" t="str">
        <f t="shared" si="8"/>
        <v>dBX</v>
      </c>
      <c r="BN21" s="38" t="str">
        <f t="shared" si="9"/>
        <v/>
      </c>
      <c r="BO21" s="38" t="str">
        <f t="shared" si="10"/>
        <v/>
      </c>
      <c r="BP21" s="38" t="str">
        <f t="shared" si="11"/>
        <v/>
      </c>
      <c r="BQ21" s="38" t="str">
        <f t="shared" si="12"/>
        <v>dBX</v>
      </c>
    </row>
    <row r="22" spans="1:69" ht="15.6" x14ac:dyDescent="0.3">
      <c r="A22" s="124" t="s">
        <v>265</v>
      </c>
      <c r="B22" s="397">
        <f>IF(ISBLANK(HLOOKUP($F$10,spelerslijsten!$B$1:$J$22,20,FALSE)),"",HLOOKUP($F$10,spelerslijsten!$B$1:$J$22,20,FALSE))</f>
        <v>13</v>
      </c>
      <c r="C22" s="398"/>
      <c r="D22" s="121"/>
      <c r="E22" s="122" t="str">
        <f>IF(ISBLANK(HLOOKUP($F$10,spelerslijsten!$B$1:$J$22,19,FALSE)),"",HLOOKUP($F$10,spelerslijsten!$B$1:$J$22,19,FALSE))</f>
        <v>Mark van der Heijden (leen)</v>
      </c>
      <c r="F22" s="12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08">
        <f t="shared" ref="V22:V23" si="22">SUMIF($AY$13:$AY$46,AT22,$BC$13:$BC$46)</f>
        <v>0</v>
      </c>
      <c r="W22" s="109" t="str">
        <f t="shared" si="13"/>
        <v/>
      </c>
      <c r="X22" s="110" t="str">
        <f t="shared" si="14"/>
        <v/>
      </c>
      <c r="Y22" s="103" t="str">
        <f t="shared" si="15"/>
        <v/>
      </c>
      <c r="Z22" s="111">
        <v>1</v>
      </c>
      <c r="AA22" s="112">
        <v>0</v>
      </c>
      <c r="AB22" s="113" t="str">
        <f t="shared" si="16"/>
        <v>-</v>
      </c>
      <c r="AC22" s="112">
        <v>3</v>
      </c>
      <c r="AD22" s="114">
        <v>5</v>
      </c>
      <c r="AE22" s="115"/>
      <c r="AF22" s="115"/>
      <c r="AG22" s="116" t="s">
        <v>265</v>
      </c>
      <c r="AH22" s="117"/>
      <c r="AI22" s="117"/>
      <c r="AJ22" s="342" t="s">
        <v>18</v>
      </c>
      <c r="AK22" s="343"/>
      <c r="AL22" s="346">
        <v>11</v>
      </c>
      <c r="AM22" s="347"/>
      <c r="AN22" s="118"/>
      <c r="AO22" s="101">
        <f t="shared" si="19"/>
        <v>2</v>
      </c>
      <c r="AP22" s="113" t="str">
        <f t="shared" si="20"/>
        <v>-</v>
      </c>
      <c r="AQ22" s="119"/>
      <c r="AR22" s="103">
        <f t="shared" si="21"/>
        <v>8</v>
      </c>
      <c r="AT22" s="38" t="str">
        <f t="shared" si="17"/>
        <v>W13</v>
      </c>
      <c r="AU22" s="38">
        <f t="shared" si="18"/>
        <v>0</v>
      </c>
      <c r="AY22" s="38" t="str">
        <f t="shared" si="1"/>
        <v>B11</v>
      </c>
      <c r="AZ22" s="38" t="str">
        <f t="shared" si="2"/>
        <v>0</v>
      </c>
      <c r="BA22" s="38" t="str">
        <f t="shared" si="3"/>
        <v>1</v>
      </c>
      <c r="BB22" s="38" t="str">
        <f t="shared" si="4"/>
        <v>0</v>
      </c>
      <c r="BC22" s="38">
        <f t="shared" si="5"/>
        <v>1</v>
      </c>
      <c r="BD22" s="38">
        <f t="shared" si="6"/>
        <v>0</v>
      </c>
      <c r="BL22" s="38" t="str">
        <f t="shared" si="7"/>
        <v/>
      </c>
      <c r="BM22" s="38" t="str">
        <f t="shared" si="8"/>
        <v>dBX</v>
      </c>
      <c r="BN22" s="38" t="str">
        <f t="shared" si="9"/>
        <v/>
      </c>
      <c r="BO22" s="38" t="str">
        <f t="shared" si="10"/>
        <v/>
      </c>
      <c r="BP22" s="38" t="str">
        <f t="shared" si="11"/>
        <v/>
      </c>
      <c r="BQ22" s="38" t="str">
        <f t="shared" si="12"/>
        <v>dBX</v>
      </c>
    </row>
    <row r="23" spans="1:69" ht="15.6" x14ac:dyDescent="0.3">
      <c r="A23" s="125"/>
      <c r="B23" s="397" t="str">
        <f>IF(ISBLANK(HLOOKUP($F$10,spelerslijsten!$B$1:$J$22,22,FALSE)),"",HLOOKUP($F$10,spelerslijsten!$B$1:$J$22,22,FALSE))</f>
        <v/>
      </c>
      <c r="C23" s="398"/>
      <c r="D23" s="126"/>
      <c r="E23" s="259" t="str">
        <f>IF(ISBLANK(HLOOKUP($F$10,spelerslijsten!$B$1:$J$22,21,FALSE)),"",HLOOKUP($F$10,spelerslijsten!$B$1:$J$22,21,FALSE))</f>
        <v/>
      </c>
      <c r="F23" s="126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08">
        <f t="shared" si="22"/>
        <v>0</v>
      </c>
      <c r="W23" s="109" t="str">
        <f t="shared" si="13"/>
        <v/>
      </c>
      <c r="X23" s="110" t="str">
        <f t="shared" si="14"/>
        <v/>
      </c>
      <c r="Y23" s="103" t="str">
        <f t="shared" si="15"/>
        <v/>
      </c>
      <c r="Z23" s="111">
        <v>1</v>
      </c>
      <c r="AA23" s="112">
        <v>1</v>
      </c>
      <c r="AB23" s="113" t="str">
        <f t="shared" si="16"/>
        <v>-</v>
      </c>
      <c r="AC23" s="112">
        <v>2</v>
      </c>
      <c r="AD23" s="114">
        <v>3</v>
      </c>
      <c r="AE23" s="115"/>
      <c r="AF23" s="115"/>
      <c r="AG23" s="116" t="s">
        <v>265</v>
      </c>
      <c r="AH23" s="117"/>
      <c r="AI23" s="117"/>
      <c r="AJ23" s="342" t="s">
        <v>17</v>
      </c>
      <c r="AK23" s="343"/>
      <c r="AL23" s="346">
        <v>12</v>
      </c>
      <c r="AM23" s="347"/>
      <c r="AN23" s="118"/>
      <c r="AO23" s="101">
        <f t="shared" si="19"/>
        <v>3</v>
      </c>
      <c r="AP23" s="113" t="str">
        <f t="shared" si="20"/>
        <v>-</v>
      </c>
      <c r="AQ23" s="119"/>
      <c r="AR23" s="103">
        <f t="shared" si="21"/>
        <v>8</v>
      </c>
      <c r="AT23" s="38" t="str">
        <f t="shared" si="17"/>
        <v>W</v>
      </c>
      <c r="AU23" s="38">
        <f t="shared" si="18"/>
        <v>0</v>
      </c>
      <c r="AY23" s="38" t="str">
        <f t="shared" si="1"/>
        <v>W12</v>
      </c>
      <c r="AZ23" s="38" t="str">
        <f t="shared" si="2"/>
        <v>0</v>
      </c>
      <c r="BA23" s="38" t="str">
        <f t="shared" si="3"/>
        <v>1</v>
      </c>
      <c r="BB23" s="38" t="str">
        <f t="shared" si="4"/>
        <v>0</v>
      </c>
      <c r="BC23" s="38">
        <f t="shared" si="5"/>
        <v>1</v>
      </c>
      <c r="BD23" s="38">
        <f t="shared" si="6"/>
        <v>0</v>
      </c>
      <c r="BL23" s="38" t="str">
        <f t="shared" si="7"/>
        <v/>
      </c>
      <c r="BM23" s="38" t="str">
        <f t="shared" si="8"/>
        <v>dWX</v>
      </c>
      <c r="BN23" s="38" t="str">
        <f t="shared" si="9"/>
        <v/>
      </c>
      <c r="BO23" s="38" t="str">
        <f t="shared" si="10"/>
        <v/>
      </c>
      <c r="BP23" s="38" t="str">
        <f t="shared" si="11"/>
        <v/>
      </c>
      <c r="BQ23" s="38" t="str">
        <f t="shared" si="12"/>
        <v>dWX</v>
      </c>
    </row>
    <row r="24" spans="1:69" ht="16.2" thickBot="1" x14ac:dyDescent="0.35">
      <c r="A24" s="71" t="s">
        <v>67</v>
      </c>
      <c r="B24" s="72"/>
      <c r="C24" s="72"/>
      <c r="D24" s="72"/>
      <c r="E24" s="72"/>
      <c r="F24" s="72"/>
      <c r="G24" s="72"/>
      <c r="I24" s="399">
        <f>HLOOKUP(F10,spelerslijsten!B1:J25,25,FALSE)</f>
        <v>0</v>
      </c>
      <c r="J24" s="400"/>
      <c r="K24" s="74" t="s">
        <v>23</v>
      </c>
      <c r="L24" s="72"/>
      <c r="M24" s="72"/>
      <c r="N24" s="129" t="str">
        <f>HLOOKUP(F10,spelerslijsten!B1:J25,23,FALSE)</f>
        <v>Eric Gabriel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30"/>
      <c r="Z24" s="131">
        <v>1</v>
      </c>
      <c r="AA24" s="132">
        <v>4</v>
      </c>
      <c r="AB24" s="133" t="str">
        <f t="shared" si="16"/>
        <v>-</v>
      </c>
      <c r="AC24" s="132">
        <v>0</v>
      </c>
      <c r="AD24" s="134">
        <v>0</v>
      </c>
      <c r="AE24" s="135"/>
      <c r="AF24" s="135"/>
      <c r="AG24" s="136" t="s">
        <v>265</v>
      </c>
      <c r="AH24" s="137"/>
      <c r="AI24" s="137"/>
      <c r="AJ24" s="342" t="s">
        <v>18</v>
      </c>
      <c r="AK24" s="343"/>
      <c r="AL24" s="350">
        <v>7</v>
      </c>
      <c r="AM24" s="351"/>
      <c r="AN24" s="138"/>
      <c r="AO24" s="101">
        <f t="shared" si="19"/>
        <v>3</v>
      </c>
      <c r="AP24" s="113" t="str">
        <f t="shared" si="20"/>
        <v>-</v>
      </c>
      <c r="AQ24" s="119"/>
      <c r="AR24" s="103">
        <f t="shared" si="21"/>
        <v>9</v>
      </c>
      <c r="AY24" s="38" t="str">
        <f t="shared" si="1"/>
        <v>B7</v>
      </c>
      <c r="AZ24" s="38" t="str">
        <f t="shared" si="2"/>
        <v>0</v>
      </c>
      <c r="BA24" s="38" t="str">
        <f t="shared" si="3"/>
        <v>1</v>
      </c>
      <c r="BB24" s="38" t="str">
        <f t="shared" si="4"/>
        <v>0</v>
      </c>
      <c r="BC24" s="38">
        <f t="shared" si="5"/>
        <v>1</v>
      </c>
      <c r="BD24" s="38">
        <f t="shared" si="6"/>
        <v>0</v>
      </c>
      <c r="BL24" s="38" t="str">
        <f t="shared" si="7"/>
        <v/>
      </c>
      <c r="BM24" s="38" t="str">
        <f t="shared" si="8"/>
        <v>dBX</v>
      </c>
      <c r="BN24" s="38" t="str">
        <f t="shared" si="9"/>
        <v/>
      </c>
      <c r="BO24" s="38" t="str">
        <f t="shared" si="10"/>
        <v/>
      </c>
      <c r="BP24" s="38" t="str">
        <f t="shared" si="11"/>
        <v/>
      </c>
      <c r="BQ24" s="38" t="str">
        <f t="shared" si="12"/>
        <v>dBX</v>
      </c>
    </row>
    <row r="25" spans="1:69" ht="15" customHeight="1" x14ac:dyDescent="0.3">
      <c r="A25" s="78" t="s">
        <v>60</v>
      </c>
      <c r="B25" s="79"/>
      <c r="C25" s="79"/>
      <c r="D25" s="79"/>
      <c r="E25" s="79"/>
      <c r="F25" s="356" t="str">
        <f>+AC7</f>
        <v>Gesposs Blauw</v>
      </c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7"/>
      <c r="Z25" s="139">
        <v>1</v>
      </c>
      <c r="AA25" s="140">
        <v>4</v>
      </c>
      <c r="AB25" s="141" t="str">
        <f t="shared" si="16"/>
        <v>-</v>
      </c>
      <c r="AC25" s="140">
        <v>0</v>
      </c>
      <c r="AD25" s="142">
        <v>0</v>
      </c>
      <c r="AE25" s="143"/>
      <c r="AF25" s="143"/>
      <c r="AG25" s="144" t="s">
        <v>265</v>
      </c>
      <c r="AH25" s="145"/>
      <c r="AI25" s="145"/>
      <c r="AJ25" s="342" t="s">
        <v>17</v>
      </c>
      <c r="AK25" s="343"/>
      <c r="AL25" s="346">
        <v>5</v>
      </c>
      <c r="AM25" s="347"/>
      <c r="AN25" s="146"/>
      <c r="AO25" s="101">
        <f t="shared" si="19"/>
        <v>4</v>
      </c>
      <c r="AP25" s="113" t="str">
        <f t="shared" si="20"/>
        <v>-</v>
      </c>
      <c r="AQ25" s="119"/>
      <c r="AR25" s="103">
        <f t="shared" si="21"/>
        <v>9</v>
      </c>
      <c r="AY25" s="38" t="str">
        <f t="shared" si="1"/>
        <v>W5</v>
      </c>
      <c r="AZ25" s="38" t="str">
        <f t="shared" si="2"/>
        <v>0</v>
      </c>
      <c r="BA25" s="38" t="str">
        <f t="shared" si="3"/>
        <v>1</v>
      </c>
      <c r="BB25" s="38" t="str">
        <f t="shared" si="4"/>
        <v>0</v>
      </c>
      <c r="BC25" s="38">
        <f t="shared" si="5"/>
        <v>1</v>
      </c>
      <c r="BD25" s="38">
        <f t="shared" si="6"/>
        <v>0</v>
      </c>
      <c r="BL25" s="38" t="str">
        <f t="shared" si="7"/>
        <v/>
      </c>
      <c r="BM25" s="38" t="str">
        <f t="shared" si="8"/>
        <v>dWX</v>
      </c>
      <c r="BN25" s="38" t="str">
        <f t="shared" si="9"/>
        <v/>
      </c>
      <c r="BO25" s="38" t="str">
        <f t="shared" si="10"/>
        <v/>
      </c>
      <c r="BP25" s="38" t="str">
        <f t="shared" si="11"/>
        <v/>
      </c>
      <c r="BQ25" s="38" t="str">
        <f t="shared" si="12"/>
        <v>dWX</v>
      </c>
    </row>
    <row r="26" spans="1:69" ht="15" customHeight="1" x14ac:dyDescent="0.3">
      <c r="A26" s="393" t="s">
        <v>24</v>
      </c>
      <c r="B26" s="394"/>
      <c r="C26" s="394"/>
      <c r="D26" s="394"/>
      <c r="E26" s="81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9"/>
      <c r="Z26" s="139"/>
      <c r="AA26" s="140"/>
      <c r="AB26" s="141" t="s">
        <v>16</v>
      </c>
      <c r="AC26" s="140"/>
      <c r="AD26" s="142"/>
      <c r="AE26" s="143"/>
      <c r="AF26" s="143"/>
      <c r="AG26" s="144"/>
      <c r="AH26" s="145"/>
      <c r="AI26" s="145"/>
      <c r="AJ26" s="342"/>
      <c r="AK26" s="343"/>
      <c r="AL26" s="346" t="s">
        <v>271</v>
      </c>
      <c r="AM26" s="347"/>
      <c r="AN26" s="146"/>
      <c r="AO26" s="101" t="str">
        <f t="shared" si="19"/>
        <v/>
      </c>
      <c r="AP26" s="113" t="str">
        <f t="shared" si="20"/>
        <v>-</v>
      </c>
      <c r="AQ26" s="119"/>
      <c r="AR26" s="103" t="str">
        <f t="shared" si="21"/>
        <v/>
      </c>
      <c r="AY26" s="38" t="str">
        <f t="shared" si="1"/>
        <v>,</v>
      </c>
      <c r="AZ26" s="38" t="str">
        <f t="shared" si="2"/>
        <v>0</v>
      </c>
      <c r="BA26" s="38" t="str">
        <f t="shared" si="3"/>
        <v>0</v>
      </c>
      <c r="BB26" s="38" t="str">
        <f t="shared" si="4"/>
        <v>0</v>
      </c>
      <c r="BC26" s="38">
        <f t="shared" si="5"/>
        <v>0</v>
      </c>
      <c r="BD26" s="38">
        <f t="shared" si="6"/>
        <v>0</v>
      </c>
      <c r="BL26" s="38" t="str">
        <f t="shared" si="7"/>
        <v/>
      </c>
      <c r="BM26" s="38" t="str">
        <f t="shared" si="8"/>
        <v/>
      </c>
      <c r="BN26" s="38" t="str">
        <f t="shared" si="9"/>
        <v/>
      </c>
      <c r="BO26" s="38" t="str">
        <f t="shared" si="10"/>
        <v/>
      </c>
      <c r="BP26" s="38" t="str">
        <f t="shared" si="11"/>
        <v/>
      </c>
      <c r="BQ26" s="38" t="str">
        <f t="shared" si="12"/>
        <v/>
      </c>
    </row>
    <row r="27" spans="1:69" ht="15.6" x14ac:dyDescent="0.3">
      <c r="A27" s="393"/>
      <c r="B27" s="394"/>
      <c r="C27" s="394"/>
      <c r="D27" s="394"/>
      <c r="E27" s="81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9"/>
      <c r="Z27" s="139"/>
      <c r="AA27" s="140"/>
      <c r="AB27" s="141" t="s">
        <v>16</v>
      </c>
      <c r="AC27" s="140"/>
      <c r="AD27" s="142"/>
      <c r="AE27" s="143"/>
      <c r="AF27" s="143"/>
      <c r="AG27" s="144"/>
      <c r="AH27" s="145"/>
      <c r="AI27" s="145"/>
      <c r="AJ27" s="342"/>
      <c r="AK27" s="343"/>
      <c r="AL27" s="346"/>
      <c r="AM27" s="347"/>
      <c r="AN27" s="146"/>
      <c r="AO27" s="101" t="str">
        <f t="shared" si="19"/>
        <v/>
      </c>
      <c r="AP27" s="113" t="str">
        <f t="shared" si="20"/>
        <v>-</v>
      </c>
      <c r="AQ27" s="119"/>
      <c r="AR27" s="103" t="str">
        <f t="shared" si="21"/>
        <v/>
      </c>
      <c r="AY27" s="38" t="str">
        <f t="shared" si="1"/>
        <v/>
      </c>
      <c r="AZ27" s="38" t="str">
        <f t="shared" si="2"/>
        <v>0</v>
      </c>
      <c r="BA27" s="38" t="str">
        <f t="shared" si="3"/>
        <v>0</v>
      </c>
      <c r="BB27" s="38" t="str">
        <f t="shared" si="4"/>
        <v>0</v>
      </c>
      <c r="BC27" s="38">
        <f t="shared" si="5"/>
        <v>0</v>
      </c>
      <c r="BD27" s="38">
        <f t="shared" si="6"/>
        <v>0</v>
      </c>
      <c r="BL27" s="38" t="str">
        <f t="shared" si="7"/>
        <v/>
      </c>
      <c r="BM27" s="38" t="str">
        <f t="shared" si="8"/>
        <v/>
      </c>
      <c r="BN27" s="38" t="str">
        <f t="shared" si="9"/>
        <v/>
      </c>
      <c r="BO27" s="38" t="str">
        <f t="shared" si="10"/>
        <v/>
      </c>
      <c r="BP27" s="38" t="str">
        <f t="shared" si="11"/>
        <v/>
      </c>
      <c r="BQ27" s="38" t="str">
        <f t="shared" si="12"/>
        <v/>
      </c>
    </row>
    <row r="28" spans="1:69" ht="15.6" x14ac:dyDescent="0.3">
      <c r="A28" s="395"/>
      <c r="B28" s="396"/>
      <c r="C28" s="396"/>
      <c r="D28" s="396"/>
      <c r="E28" s="81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1"/>
      <c r="Z28" s="147"/>
      <c r="AA28" s="140"/>
      <c r="AB28" s="148" t="str">
        <f>+AB25</f>
        <v>-</v>
      </c>
      <c r="AC28" s="140"/>
      <c r="AD28" s="142"/>
      <c r="AE28" s="143"/>
      <c r="AF28" s="143"/>
      <c r="AG28" s="144"/>
      <c r="AH28" s="145"/>
      <c r="AI28" s="145"/>
      <c r="AJ28" s="342"/>
      <c r="AK28" s="343"/>
      <c r="AL28" s="346"/>
      <c r="AM28" s="347"/>
      <c r="AN28" s="146"/>
      <c r="AO28" s="101" t="str">
        <f t="shared" si="19"/>
        <v/>
      </c>
      <c r="AP28" s="113" t="str">
        <f t="shared" si="20"/>
        <v>-</v>
      </c>
      <c r="AQ28" s="119"/>
      <c r="AR28" s="103" t="str">
        <f t="shared" si="21"/>
        <v/>
      </c>
      <c r="AY28" s="38" t="str">
        <f t="shared" si="1"/>
        <v/>
      </c>
      <c r="AZ28" s="38" t="str">
        <f t="shared" si="2"/>
        <v>0</v>
      </c>
      <c r="BA28" s="38" t="str">
        <f t="shared" si="3"/>
        <v>0</v>
      </c>
      <c r="BB28" s="38" t="str">
        <f t="shared" si="4"/>
        <v>0</v>
      </c>
      <c r="BC28" s="38">
        <f t="shared" si="5"/>
        <v>0</v>
      </c>
      <c r="BD28" s="38">
        <f t="shared" si="6"/>
        <v>0</v>
      </c>
      <c r="BL28" s="38" t="str">
        <f t="shared" si="7"/>
        <v/>
      </c>
      <c r="BM28" s="38" t="str">
        <f t="shared" si="8"/>
        <v/>
      </c>
      <c r="BN28" s="38" t="str">
        <f t="shared" si="9"/>
        <v/>
      </c>
      <c r="BO28" s="38" t="str">
        <f t="shared" si="10"/>
        <v/>
      </c>
      <c r="BP28" s="38" t="str">
        <f t="shared" si="11"/>
        <v/>
      </c>
      <c r="BQ28" s="38" t="str">
        <f t="shared" si="12"/>
        <v/>
      </c>
    </row>
    <row r="29" spans="1:69" ht="15.6" x14ac:dyDescent="0.3">
      <c r="A29" s="86" t="s">
        <v>0</v>
      </c>
      <c r="B29" s="87" t="s">
        <v>1</v>
      </c>
      <c r="C29" s="64"/>
      <c r="D29" s="89"/>
      <c r="E29" s="88" t="s">
        <v>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90"/>
      <c r="V29" s="91" t="s">
        <v>3</v>
      </c>
      <c r="W29" s="91" t="s">
        <v>4</v>
      </c>
      <c r="X29" s="91" t="s">
        <v>5</v>
      </c>
      <c r="Y29" s="92" t="s">
        <v>6</v>
      </c>
      <c r="Z29" s="111"/>
      <c r="AA29" s="149"/>
      <c r="AB29" s="150" t="str">
        <f t="shared" si="16"/>
        <v>-</v>
      </c>
      <c r="AC29" s="149"/>
      <c r="AD29" s="151"/>
      <c r="AE29" s="152"/>
      <c r="AF29" s="152"/>
      <c r="AG29" s="153"/>
      <c r="AH29" s="154"/>
      <c r="AI29" s="154"/>
      <c r="AJ29" s="342"/>
      <c r="AK29" s="343"/>
      <c r="AL29" s="348"/>
      <c r="AM29" s="349"/>
      <c r="AN29" s="155"/>
      <c r="AO29" s="101" t="str">
        <f t="shared" si="19"/>
        <v/>
      </c>
      <c r="AP29" s="113" t="str">
        <f t="shared" si="20"/>
        <v>-</v>
      </c>
      <c r="AQ29" s="119"/>
      <c r="AR29" s="103" t="str">
        <f t="shared" si="21"/>
        <v/>
      </c>
      <c r="AY29" s="38" t="str">
        <f t="shared" si="1"/>
        <v/>
      </c>
      <c r="AZ29" s="38" t="str">
        <f t="shared" si="2"/>
        <v>0</v>
      </c>
      <c r="BA29" s="38" t="str">
        <f t="shared" si="3"/>
        <v>0</v>
      </c>
      <c r="BB29" s="38" t="str">
        <f t="shared" si="4"/>
        <v>0</v>
      </c>
      <c r="BC29" s="38">
        <f t="shared" si="5"/>
        <v>0</v>
      </c>
      <c r="BD29" s="38">
        <f t="shared" si="6"/>
        <v>0</v>
      </c>
      <c r="BL29" s="38" t="str">
        <f t="shared" si="7"/>
        <v/>
      </c>
      <c r="BM29" s="38" t="str">
        <f t="shared" si="8"/>
        <v/>
      </c>
      <c r="BN29" s="38" t="str">
        <f t="shared" si="9"/>
        <v/>
      </c>
      <c r="BO29" s="38" t="str">
        <f t="shared" si="10"/>
        <v/>
      </c>
      <c r="BP29" s="38" t="str">
        <f t="shared" si="11"/>
        <v/>
      </c>
      <c r="BQ29" s="38" t="str">
        <f t="shared" si="12"/>
        <v/>
      </c>
    </row>
    <row r="30" spans="1:69" ht="15.6" x14ac:dyDescent="0.3">
      <c r="A30" s="104" t="s">
        <v>265</v>
      </c>
      <c r="B30" s="397">
        <f>IF(ISBLANK(HLOOKUP($F$25,spelerslijsten!$B$1:$J$22,4,FALSE)),"",HLOOKUP($F$25,spelerslijsten!$B$1:$J$22,4,FALSE))</f>
        <v>2</v>
      </c>
      <c r="C30" s="398"/>
      <c r="D30" s="105"/>
      <c r="E30" s="106" t="str">
        <f>IF(ISBLANK(HLOOKUP($F$25,spelerslijsten!$B$1:$J$22,3,FALSE)),"",HLOOKUP($F$25,spelerslijsten!$B$1:$J$22,3,FALSE))</f>
        <v>Jack Steeghs</v>
      </c>
      <c r="F30" s="105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8">
        <f t="shared" ref="V30:V39" si="23">SUMIF($AY$13:$AY$46,AT30,$BC$13:$BC$46)</f>
        <v>0</v>
      </c>
      <c r="W30" s="109" t="str">
        <f>IF(AU30&gt;0,"x","")</f>
        <v/>
      </c>
      <c r="X30" s="110" t="str">
        <f>IF(AU30&gt;1,"x","")</f>
        <v/>
      </c>
      <c r="Y30" s="103" t="str">
        <f>IF(AU30&gt;2,"x","")</f>
        <v/>
      </c>
      <c r="Z30" s="111"/>
      <c r="AA30" s="112"/>
      <c r="AB30" s="113" t="str">
        <f t="shared" si="16"/>
        <v>-</v>
      </c>
      <c r="AC30" s="112"/>
      <c r="AD30" s="114"/>
      <c r="AE30" s="115"/>
      <c r="AF30" s="115"/>
      <c r="AG30" s="116"/>
      <c r="AH30" s="117"/>
      <c r="AI30" s="117"/>
      <c r="AJ30" s="342"/>
      <c r="AK30" s="343"/>
      <c r="AL30" s="346"/>
      <c r="AM30" s="347"/>
      <c r="AN30" s="118"/>
      <c r="AO30" s="101" t="str">
        <f t="shared" si="19"/>
        <v/>
      </c>
      <c r="AP30" s="113" t="str">
        <f t="shared" si="20"/>
        <v>-</v>
      </c>
      <c r="AQ30" s="119"/>
      <c r="AR30" s="103" t="str">
        <f t="shared" si="21"/>
        <v/>
      </c>
      <c r="AT30" s="38" t="str">
        <f>CONCATENATE($AV$11&amp;B30)</f>
        <v>B2</v>
      </c>
      <c r="AU30" s="38">
        <f t="shared" si="18"/>
        <v>0</v>
      </c>
      <c r="AY30" s="38" t="str">
        <f t="shared" si="1"/>
        <v/>
      </c>
      <c r="AZ30" s="38" t="str">
        <f t="shared" si="2"/>
        <v>0</v>
      </c>
      <c r="BA30" s="38" t="str">
        <f t="shared" si="3"/>
        <v>0</v>
      </c>
      <c r="BB30" s="38" t="str">
        <f t="shared" si="4"/>
        <v>0</v>
      </c>
      <c r="BC30" s="38">
        <f t="shared" si="5"/>
        <v>0</v>
      </c>
      <c r="BD30" s="38">
        <f t="shared" si="6"/>
        <v>0</v>
      </c>
      <c r="BL30" s="38" t="str">
        <f t="shared" si="7"/>
        <v/>
      </c>
      <c r="BM30" s="38" t="str">
        <f t="shared" si="8"/>
        <v/>
      </c>
      <c r="BN30" s="38" t="str">
        <f t="shared" si="9"/>
        <v/>
      </c>
      <c r="BO30" s="38" t="str">
        <f t="shared" si="10"/>
        <v/>
      </c>
      <c r="BP30" s="38" t="str">
        <f t="shared" si="11"/>
        <v/>
      </c>
      <c r="BQ30" s="38" t="str">
        <f t="shared" si="12"/>
        <v/>
      </c>
    </row>
    <row r="31" spans="1:69" ht="15.6" x14ac:dyDescent="0.3">
      <c r="A31" s="120" t="s">
        <v>265</v>
      </c>
      <c r="B31" s="397">
        <f>IF(ISBLANK(HLOOKUP($F$25,spelerslijsten!$B$1:$J$22,6,FALSE)),"",HLOOKUP($F$25,spelerslijsten!$B$1:$J$22,6,FALSE))</f>
        <v>3</v>
      </c>
      <c r="C31" s="398"/>
      <c r="D31" s="121"/>
      <c r="E31" s="122" t="str">
        <f>IF(ISBLANK(HLOOKUP($F$25,spelerslijsten!$B$1:$J$22,5,FALSE)),"",HLOOKUP($F$25,spelerslijsten!$B$1:$J$22,5,FALSE))</f>
        <v>Niels Venterink</v>
      </c>
      <c r="F31" s="12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08">
        <f t="shared" si="23"/>
        <v>0</v>
      </c>
      <c r="W31" s="109" t="str">
        <f t="shared" ref="W31:W39" si="24">IF(AU31&gt;0,"x","")</f>
        <v/>
      </c>
      <c r="X31" s="110" t="str">
        <f t="shared" ref="X31:X39" si="25">IF(AU31&gt;1,"x","")</f>
        <v/>
      </c>
      <c r="Y31" s="103" t="str">
        <f t="shared" ref="Y31:Y39" si="26">IF(AU31&gt;2,"x","")</f>
        <v/>
      </c>
      <c r="Z31" s="111"/>
      <c r="AA31" s="112"/>
      <c r="AB31" s="113" t="str">
        <f t="shared" si="16"/>
        <v>-</v>
      </c>
      <c r="AC31" s="112"/>
      <c r="AD31" s="114"/>
      <c r="AE31" s="115"/>
      <c r="AF31" s="115"/>
      <c r="AG31" s="116"/>
      <c r="AH31" s="117"/>
      <c r="AI31" s="117"/>
      <c r="AJ31" s="342"/>
      <c r="AK31" s="343"/>
      <c r="AL31" s="346"/>
      <c r="AM31" s="347"/>
      <c r="AN31" s="118"/>
      <c r="AO31" s="101" t="str">
        <f t="shared" si="19"/>
        <v/>
      </c>
      <c r="AP31" s="113" t="str">
        <f t="shared" si="20"/>
        <v>-</v>
      </c>
      <c r="AQ31" s="119"/>
      <c r="AR31" s="103" t="str">
        <f t="shared" si="21"/>
        <v/>
      </c>
      <c r="AT31" s="38" t="str">
        <f t="shared" ref="AT31:AT39" si="27">CONCATENATE($AV$11&amp;B31)</f>
        <v>B3</v>
      </c>
      <c r="AU31" s="38">
        <f t="shared" si="18"/>
        <v>0</v>
      </c>
      <c r="AY31" s="38" t="str">
        <f t="shared" si="1"/>
        <v/>
      </c>
      <c r="AZ31" s="38" t="str">
        <f t="shared" si="2"/>
        <v>0</v>
      </c>
      <c r="BA31" s="38" t="str">
        <f t="shared" si="3"/>
        <v>0</v>
      </c>
      <c r="BB31" s="38" t="str">
        <f t="shared" si="4"/>
        <v>0</v>
      </c>
      <c r="BC31" s="38">
        <f t="shared" si="5"/>
        <v>0</v>
      </c>
      <c r="BD31" s="38">
        <f t="shared" si="6"/>
        <v>0</v>
      </c>
      <c r="BL31" s="38" t="str">
        <f t="shared" si="7"/>
        <v/>
      </c>
      <c r="BM31" s="38" t="str">
        <f t="shared" si="8"/>
        <v/>
      </c>
      <c r="BN31" s="38" t="str">
        <f t="shared" si="9"/>
        <v/>
      </c>
      <c r="BO31" s="38" t="str">
        <f t="shared" si="10"/>
        <v/>
      </c>
      <c r="BP31" s="38" t="str">
        <f t="shared" si="11"/>
        <v/>
      </c>
      <c r="BQ31" s="38" t="str">
        <f t="shared" si="12"/>
        <v/>
      </c>
    </row>
    <row r="32" spans="1:69" ht="15.6" x14ac:dyDescent="0.3">
      <c r="A32" s="124"/>
      <c r="B32" s="397">
        <f>IF(ISBLANK(HLOOKUP($F$25,spelerslijsten!$B$1:$J$22,8,FALSE)),"",HLOOKUP($F$25,spelerslijsten!$B$1:$J$22,8,FALSE))</f>
        <v>4</v>
      </c>
      <c r="C32" s="398"/>
      <c r="D32" s="121"/>
      <c r="E32" s="122" t="str">
        <f>IF(ISBLANK(HLOOKUP($F$25,spelerslijsten!$B$1:$J$22,7,FALSE)),"",HLOOKUP($F$25,spelerslijsten!$B$1:$J$22,7,FALSE))</f>
        <v>Wendy Kuysters</v>
      </c>
      <c r="F32" s="12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08">
        <f t="shared" si="23"/>
        <v>0</v>
      </c>
      <c r="W32" s="109" t="str">
        <f t="shared" si="24"/>
        <v/>
      </c>
      <c r="X32" s="110" t="str">
        <f t="shared" si="25"/>
        <v/>
      </c>
      <c r="Y32" s="103" t="str">
        <f t="shared" si="26"/>
        <v/>
      </c>
      <c r="Z32" s="111"/>
      <c r="AA32" s="112"/>
      <c r="AB32" s="113" t="str">
        <f t="shared" si="16"/>
        <v>-</v>
      </c>
      <c r="AC32" s="112"/>
      <c r="AD32" s="114"/>
      <c r="AE32" s="115"/>
      <c r="AF32" s="115"/>
      <c r="AG32" s="116"/>
      <c r="AH32" s="117"/>
      <c r="AI32" s="117"/>
      <c r="AJ32" s="342"/>
      <c r="AK32" s="343"/>
      <c r="AL32" s="346"/>
      <c r="AM32" s="347"/>
      <c r="AN32" s="118"/>
      <c r="AO32" s="101" t="str">
        <f t="shared" si="19"/>
        <v/>
      </c>
      <c r="AP32" s="113" t="str">
        <f t="shared" si="20"/>
        <v>-</v>
      </c>
      <c r="AQ32" s="119"/>
      <c r="AR32" s="103" t="str">
        <f t="shared" si="21"/>
        <v/>
      </c>
      <c r="AT32" s="38" t="str">
        <f t="shared" si="27"/>
        <v>B4</v>
      </c>
      <c r="AU32" s="38">
        <f t="shared" si="18"/>
        <v>0</v>
      </c>
      <c r="AY32" s="38" t="str">
        <f t="shared" si="1"/>
        <v/>
      </c>
      <c r="AZ32" s="38" t="str">
        <f t="shared" si="2"/>
        <v>0</v>
      </c>
      <c r="BA32" s="38" t="str">
        <f t="shared" si="3"/>
        <v>0</v>
      </c>
      <c r="BB32" s="38" t="str">
        <f t="shared" si="4"/>
        <v>0</v>
      </c>
      <c r="BC32" s="38">
        <f t="shared" si="5"/>
        <v>0</v>
      </c>
      <c r="BD32" s="38">
        <f t="shared" si="6"/>
        <v>0</v>
      </c>
      <c r="BL32" s="38" t="str">
        <f t="shared" si="7"/>
        <v/>
      </c>
      <c r="BM32" s="38" t="str">
        <f t="shared" si="8"/>
        <v/>
      </c>
      <c r="BN32" s="38" t="str">
        <f t="shared" si="9"/>
        <v/>
      </c>
      <c r="BO32" s="38" t="str">
        <f t="shared" si="10"/>
        <v/>
      </c>
      <c r="BP32" s="38" t="str">
        <f t="shared" si="11"/>
        <v/>
      </c>
      <c r="BQ32" s="38" t="str">
        <f t="shared" si="12"/>
        <v/>
      </c>
    </row>
    <row r="33" spans="1:69" ht="15.6" x14ac:dyDescent="0.3">
      <c r="A33" s="124" t="s">
        <v>265</v>
      </c>
      <c r="B33" s="397">
        <f>IF(ISBLANK(HLOOKUP($F$25,spelerslijsten!$B$1:$J$22,10,FALSE)),"",HLOOKUP($F$25,spelerslijsten!$B$1:$J$22,10,FALSE))</f>
        <v>6</v>
      </c>
      <c r="C33" s="398"/>
      <c r="D33" s="121"/>
      <c r="E33" s="122" t="str">
        <f>IF(ISBLANK(HLOOKUP($F$25,spelerslijsten!$B$1:$J$22,9,FALSE)),"",HLOOKUP($F$25,spelerslijsten!$B$1:$J$22,9,FALSE))</f>
        <v>Kristel Henst</v>
      </c>
      <c r="F33" s="12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08">
        <f t="shared" si="23"/>
        <v>0</v>
      </c>
      <c r="W33" s="109" t="str">
        <f t="shared" si="24"/>
        <v/>
      </c>
      <c r="X33" s="110" t="str">
        <f t="shared" si="25"/>
        <v/>
      </c>
      <c r="Y33" s="103" t="str">
        <f t="shared" si="26"/>
        <v/>
      </c>
      <c r="Z33" s="111"/>
      <c r="AA33" s="112"/>
      <c r="AB33" s="113" t="str">
        <f t="shared" si="16"/>
        <v>-</v>
      </c>
      <c r="AC33" s="112"/>
      <c r="AD33" s="114"/>
      <c r="AE33" s="115"/>
      <c r="AF33" s="115"/>
      <c r="AG33" s="116"/>
      <c r="AH33" s="117"/>
      <c r="AI33" s="117"/>
      <c r="AJ33" s="342"/>
      <c r="AK33" s="343"/>
      <c r="AL33" s="346"/>
      <c r="AM33" s="347"/>
      <c r="AN33" s="118"/>
      <c r="AO33" s="101" t="str">
        <f t="shared" si="19"/>
        <v/>
      </c>
      <c r="AP33" s="113" t="str">
        <f t="shared" si="20"/>
        <v>-</v>
      </c>
      <c r="AQ33" s="119"/>
      <c r="AR33" s="103" t="str">
        <f t="shared" si="21"/>
        <v/>
      </c>
      <c r="AT33" s="38" t="str">
        <f t="shared" si="27"/>
        <v>B6</v>
      </c>
      <c r="AU33" s="38">
        <f t="shared" si="18"/>
        <v>0</v>
      </c>
      <c r="AY33" s="38" t="str">
        <f t="shared" si="1"/>
        <v/>
      </c>
      <c r="AZ33" s="38" t="str">
        <f t="shared" si="2"/>
        <v>0</v>
      </c>
      <c r="BA33" s="38" t="str">
        <f t="shared" si="3"/>
        <v>0</v>
      </c>
      <c r="BB33" s="38" t="str">
        <f t="shared" si="4"/>
        <v>0</v>
      </c>
      <c r="BC33" s="38">
        <f t="shared" si="5"/>
        <v>0</v>
      </c>
      <c r="BD33" s="38">
        <f t="shared" si="6"/>
        <v>0</v>
      </c>
      <c r="BL33" s="38" t="str">
        <f t="shared" si="7"/>
        <v/>
      </c>
      <c r="BM33" s="38" t="str">
        <f t="shared" si="8"/>
        <v/>
      </c>
      <c r="BN33" s="38" t="str">
        <f t="shared" si="9"/>
        <v/>
      </c>
      <c r="BO33" s="38" t="str">
        <f t="shared" si="10"/>
        <v/>
      </c>
      <c r="BP33" s="38" t="str">
        <f t="shared" si="11"/>
        <v/>
      </c>
      <c r="BQ33" s="38" t="str">
        <f t="shared" si="12"/>
        <v/>
      </c>
    </row>
    <row r="34" spans="1:69" ht="15.6" x14ac:dyDescent="0.3">
      <c r="A34" s="124" t="s">
        <v>265</v>
      </c>
      <c r="B34" s="397">
        <f>IF(ISBLANK(HLOOKUP($F$25,spelerslijsten!$B$1:$J$22,12,FALSE)),"",HLOOKUP($F$25,spelerslijsten!$B$1:$J$22,12,FALSE))</f>
        <v>7</v>
      </c>
      <c r="C34" s="398"/>
      <c r="D34" s="121"/>
      <c r="E34" s="122" t="str">
        <f>IF(ISBLANK(HLOOKUP($F$25,spelerslijsten!$B$1:$J$22,11,FALSE)),"",HLOOKUP($F$25,spelerslijsten!$B$1:$J$22,11,FALSE))</f>
        <v>Wout Reininga</v>
      </c>
      <c r="F34" s="12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08">
        <f t="shared" si="23"/>
        <v>3</v>
      </c>
      <c r="W34" s="109" t="str">
        <f t="shared" si="24"/>
        <v/>
      </c>
      <c r="X34" s="110" t="str">
        <f t="shared" si="25"/>
        <v/>
      </c>
      <c r="Y34" s="103" t="str">
        <f t="shared" si="26"/>
        <v/>
      </c>
      <c r="Z34" s="111"/>
      <c r="AA34" s="112"/>
      <c r="AB34" s="113" t="str">
        <f t="shared" si="16"/>
        <v>-</v>
      </c>
      <c r="AC34" s="112"/>
      <c r="AD34" s="114"/>
      <c r="AE34" s="115"/>
      <c r="AF34" s="115"/>
      <c r="AG34" s="116"/>
      <c r="AH34" s="117"/>
      <c r="AI34" s="117"/>
      <c r="AJ34" s="342"/>
      <c r="AK34" s="343"/>
      <c r="AL34" s="346"/>
      <c r="AM34" s="347"/>
      <c r="AN34" s="118"/>
      <c r="AO34" s="101" t="str">
        <f t="shared" si="19"/>
        <v/>
      </c>
      <c r="AP34" s="113" t="str">
        <f t="shared" si="20"/>
        <v>-</v>
      </c>
      <c r="AQ34" s="119"/>
      <c r="AR34" s="103" t="str">
        <f t="shared" si="21"/>
        <v/>
      </c>
      <c r="AT34" s="38" t="str">
        <f t="shared" si="27"/>
        <v>B7</v>
      </c>
      <c r="AU34" s="38">
        <f t="shared" si="18"/>
        <v>0</v>
      </c>
      <c r="AY34" s="38" t="str">
        <f t="shared" si="1"/>
        <v/>
      </c>
      <c r="AZ34" s="38" t="str">
        <f t="shared" si="2"/>
        <v>0</v>
      </c>
      <c r="BA34" s="38" t="str">
        <f t="shared" si="3"/>
        <v>0</v>
      </c>
      <c r="BB34" s="38" t="str">
        <f t="shared" si="4"/>
        <v>0</v>
      </c>
      <c r="BC34" s="38">
        <f t="shared" si="5"/>
        <v>0</v>
      </c>
      <c r="BD34" s="38">
        <f t="shared" si="6"/>
        <v>0</v>
      </c>
      <c r="BL34" s="38" t="str">
        <f t="shared" si="7"/>
        <v/>
      </c>
      <c r="BM34" s="38" t="str">
        <f t="shared" si="8"/>
        <v/>
      </c>
      <c r="BN34" s="38" t="str">
        <f t="shared" si="9"/>
        <v/>
      </c>
      <c r="BO34" s="38" t="str">
        <f t="shared" si="10"/>
        <v/>
      </c>
      <c r="BP34" s="38" t="str">
        <f t="shared" si="11"/>
        <v/>
      </c>
      <c r="BQ34" s="38" t="str">
        <f t="shared" si="12"/>
        <v/>
      </c>
    </row>
    <row r="35" spans="1:69" ht="15.6" x14ac:dyDescent="0.3">
      <c r="A35" s="124" t="s">
        <v>265</v>
      </c>
      <c r="B35" s="397">
        <f>IF(ISBLANK(HLOOKUP($F$25,spelerslijsten!$B$1:$J$22,14,FALSE)),"",HLOOKUP($F$25,spelerslijsten!$B$1:$J$22,14,FALSE))</f>
        <v>8</v>
      </c>
      <c r="C35" s="398"/>
      <c r="D35" s="121"/>
      <c r="E35" s="122" t="str">
        <f>IF(ISBLANK(HLOOKUP($F$25,spelerslijsten!$B$1:$J$22,13,FALSE)),"",HLOOKUP($F$25,spelerslijsten!$B$1:$J$22,13,FALSE))</f>
        <v>Romy Hoed-Venterink</v>
      </c>
      <c r="F35" s="12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08">
        <f t="shared" si="23"/>
        <v>3</v>
      </c>
      <c r="W35" s="109" t="str">
        <f t="shared" si="24"/>
        <v/>
      </c>
      <c r="X35" s="110" t="str">
        <f t="shared" si="25"/>
        <v/>
      </c>
      <c r="Y35" s="103" t="str">
        <f t="shared" si="26"/>
        <v/>
      </c>
      <c r="Z35" s="111"/>
      <c r="AA35" s="112"/>
      <c r="AB35" s="113" t="str">
        <f t="shared" si="16"/>
        <v>-</v>
      </c>
      <c r="AC35" s="112"/>
      <c r="AD35" s="114"/>
      <c r="AE35" s="115"/>
      <c r="AF35" s="115"/>
      <c r="AG35" s="116"/>
      <c r="AH35" s="117"/>
      <c r="AI35" s="117"/>
      <c r="AJ35" s="342"/>
      <c r="AK35" s="343"/>
      <c r="AL35" s="346"/>
      <c r="AM35" s="347"/>
      <c r="AN35" s="118"/>
      <c r="AO35" s="101" t="str">
        <f t="shared" si="19"/>
        <v/>
      </c>
      <c r="AP35" s="113" t="str">
        <f t="shared" si="20"/>
        <v>-</v>
      </c>
      <c r="AQ35" s="119"/>
      <c r="AR35" s="103" t="str">
        <f t="shared" si="21"/>
        <v/>
      </c>
      <c r="AT35" s="38" t="str">
        <f t="shared" si="27"/>
        <v>B8</v>
      </c>
      <c r="AU35" s="38">
        <f t="shared" si="18"/>
        <v>0</v>
      </c>
      <c r="AY35" s="38" t="str">
        <f t="shared" si="1"/>
        <v/>
      </c>
      <c r="AZ35" s="38" t="str">
        <f t="shared" si="2"/>
        <v>0</v>
      </c>
      <c r="BA35" s="38" t="str">
        <f t="shared" si="3"/>
        <v>0</v>
      </c>
      <c r="BB35" s="38" t="str">
        <f t="shared" si="4"/>
        <v>0</v>
      </c>
      <c r="BC35" s="38">
        <f t="shared" si="5"/>
        <v>0</v>
      </c>
      <c r="BD35" s="38">
        <f t="shared" si="6"/>
        <v>0</v>
      </c>
      <c r="BL35" s="38" t="str">
        <f t="shared" si="7"/>
        <v/>
      </c>
      <c r="BM35" s="38" t="str">
        <f t="shared" si="8"/>
        <v/>
      </c>
      <c r="BN35" s="38" t="str">
        <f t="shared" si="9"/>
        <v/>
      </c>
      <c r="BO35" s="38" t="str">
        <f t="shared" si="10"/>
        <v/>
      </c>
      <c r="BP35" s="38" t="str">
        <f t="shared" si="11"/>
        <v/>
      </c>
      <c r="BQ35" s="38" t="str">
        <f t="shared" si="12"/>
        <v/>
      </c>
    </row>
    <row r="36" spans="1:69" ht="15.6" x14ac:dyDescent="0.3">
      <c r="A36" s="124" t="s">
        <v>265</v>
      </c>
      <c r="B36" s="397">
        <f>IF(ISBLANK(HLOOKUP($F$25,spelerslijsten!$B$1:$J$22,16,FALSE)),"",HLOOKUP($F$25,spelerslijsten!$B$1:$J$22,16,FALSE))</f>
        <v>9</v>
      </c>
      <c r="C36" s="398"/>
      <c r="D36" s="121"/>
      <c r="E36" s="122" t="str">
        <f>IF(ISBLANK(HLOOKUP($F$25,spelerslijsten!$B$1:$J$22,15,FALSE)),"",HLOOKUP($F$25,spelerslijsten!$B$1:$J$22,15,FALSE))</f>
        <v>Marieke van Namen</v>
      </c>
      <c r="F36" s="12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08">
        <f t="shared" si="23"/>
        <v>1</v>
      </c>
      <c r="W36" s="109" t="str">
        <f t="shared" si="24"/>
        <v/>
      </c>
      <c r="X36" s="110" t="str">
        <f t="shared" si="25"/>
        <v/>
      </c>
      <c r="Y36" s="103" t="str">
        <f t="shared" si="26"/>
        <v/>
      </c>
      <c r="Z36" s="111"/>
      <c r="AA36" s="112"/>
      <c r="AB36" s="113" t="str">
        <f t="shared" si="16"/>
        <v>-</v>
      </c>
      <c r="AC36" s="112"/>
      <c r="AD36" s="114"/>
      <c r="AE36" s="115"/>
      <c r="AF36" s="115"/>
      <c r="AG36" s="116"/>
      <c r="AH36" s="117"/>
      <c r="AI36" s="117"/>
      <c r="AJ36" s="342"/>
      <c r="AK36" s="343"/>
      <c r="AL36" s="346"/>
      <c r="AM36" s="347"/>
      <c r="AN36" s="118"/>
      <c r="AO36" s="101" t="str">
        <f t="shared" si="19"/>
        <v/>
      </c>
      <c r="AP36" s="113" t="str">
        <f t="shared" si="20"/>
        <v>-</v>
      </c>
      <c r="AQ36" s="119"/>
      <c r="AR36" s="103" t="str">
        <f t="shared" si="21"/>
        <v/>
      </c>
      <c r="AT36" s="38" t="str">
        <f t="shared" si="27"/>
        <v>B9</v>
      </c>
      <c r="AU36" s="38">
        <f t="shared" si="18"/>
        <v>0</v>
      </c>
      <c r="AY36" s="38" t="str">
        <f t="shared" si="1"/>
        <v/>
      </c>
      <c r="AZ36" s="38" t="str">
        <f t="shared" si="2"/>
        <v>0</v>
      </c>
      <c r="BA36" s="38" t="str">
        <f t="shared" si="3"/>
        <v>0</v>
      </c>
      <c r="BB36" s="38" t="str">
        <f t="shared" si="4"/>
        <v>0</v>
      </c>
      <c r="BC36" s="38">
        <f t="shared" si="5"/>
        <v>0</v>
      </c>
      <c r="BD36" s="38">
        <f t="shared" si="6"/>
        <v>0</v>
      </c>
      <c r="BL36" s="38" t="str">
        <f t="shared" si="7"/>
        <v/>
      </c>
      <c r="BM36" s="38" t="str">
        <f t="shared" si="8"/>
        <v/>
      </c>
      <c r="BN36" s="38" t="str">
        <f t="shared" si="9"/>
        <v/>
      </c>
      <c r="BO36" s="38" t="str">
        <f t="shared" si="10"/>
        <v/>
      </c>
      <c r="BP36" s="38" t="str">
        <f t="shared" si="11"/>
        <v/>
      </c>
      <c r="BQ36" s="38" t="str">
        <f t="shared" si="12"/>
        <v/>
      </c>
    </row>
    <row r="37" spans="1:69" ht="15.6" x14ac:dyDescent="0.3">
      <c r="A37" s="124" t="s">
        <v>265</v>
      </c>
      <c r="B37" s="397">
        <f>IF(ISBLANK(HLOOKUP($F$25,spelerslijsten!$B$1:$J$22,18,FALSE)),"",HLOOKUP($F$25,spelerslijsten!$B$1:$J$22,18,FALSE))</f>
        <v>10</v>
      </c>
      <c r="C37" s="398"/>
      <c r="D37" s="121"/>
      <c r="E37" s="122" t="str">
        <f>IF(ISBLANK(HLOOKUP($F$25,spelerslijsten!$B$1:$J$22,17,FALSE)),"",HLOOKUP($F$25,spelerslijsten!$B$1:$J$22,17,FALSE))</f>
        <v>Manon Dekkers</v>
      </c>
      <c r="F37" s="12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08">
        <f t="shared" si="23"/>
        <v>1</v>
      </c>
      <c r="W37" s="109" t="str">
        <f t="shared" si="24"/>
        <v/>
      </c>
      <c r="X37" s="110" t="str">
        <f t="shared" si="25"/>
        <v/>
      </c>
      <c r="Y37" s="103" t="str">
        <f t="shared" si="26"/>
        <v/>
      </c>
      <c r="Z37" s="111"/>
      <c r="AA37" s="112"/>
      <c r="AB37" s="113" t="str">
        <f t="shared" si="16"/>
        <v>-</v>
      </c>
      <c r="AC37" s="112"/>
      <c r="AD37" s="114"/>
      <c r="AE37" s="115"/>
      <c r="AF37" s="115"/>
      <c r="AG37" s="116"/>
      <c r="AH37" s="117"/>
      <c r="AI37" s="117"/>
      <c r="AJ37" s="342"/>
      <c r="AK37" s="343"/>
      <c r="AL37" s="346"/>
      <c r="AM37" s="347"/>
      <c r="AN37" s="118"/>
      <c r="AO37" s="101" t="str">
        <f t="shared" si="19"/>
        <v/>
      </c>
      <c r="AP37" s="113" t="str">
        <f t="shared" si="20"/>
        <v>-</v>
      </c>
      <c r="AQ37" s="119"/>
      <c r="AR37" s="103" t="str">
        <f t="shared" si="21"/>
        <v/>
      </c>
      <c r="AT37" s="38" t="str">
        <f t="shared" si="27"/>
        <v>B10</v>
      </c>
      <c r="AU37" s="38">
        <f t="shared" si="18"/>
        <v>0</v>
      </c>
      <c r="AY37" s="38" t="str">
        <f t="shared" si="1"/>
        <v/>
      </c>
      <c r="AZ37" s="38" t="str">
        <f t="shared" si="2"/>
        <v>0</v>
      </c>
      <c r="BA37" s="38" t="str">
        <f t="shared" si="3"/>
        <v>0</v>
      </c>
      <c r="BB37" s="38" t="str">
        <f t="shared" si="4"/>
        <v>0</v>
      </c>
      <c r="BC37" s="38">
        <f t="shared" si="5"/>
        <v>0</v>
      </c>
      <c r="BD37" s="38">
        <f t="shared" si="6"/>
        <v>0</v>
      </c>
      <c r="BL37" s="38" t="str">
        <f t="shared" si="7"/>
        <v/>
      </c>
      <c r="BM37" s="38" t="str">
        <f t="shared" si="8"/>
        <v/>
      </c>
      <c r="BN37" s="38" t="str">
        <f t="shared" si="9"/>
        <v/>
      </c>
      <c r="BO37" s="38" t="str">
        <f t="shared" si="10"/>
        <v/>
      </c>
      <c r="BP37" s="38" t="str">
        <f t="shared" si="11"/>
        <v/>
      </c>
      <c r="BQ37" s="38" t="str">
        <f t="shared" si="12"/>
        <v/>
      </c>
    </row>
    <row r="38" spans="1:69" ht="15.6" x14ac:dyDescent="0.3">
      <c r="A38" s="124" t="s">
        <v>265</v>
      </c>
      <c r="B38" s="397">
        <f>IF(ISBLANK(HLOOKUP($F$25,spelerslijsten!$B$1:$J$22,20,FALSE)),"",HLOOKUP($F$25,spelerslijsten!$B$1:$J$22,20,FALSE))</f>
        <v>11</v>
      </c>
      <c r="C38" s="398"/>
      <c r="D38" s="121"/>
      <c r="E38" s="122" t="str">
        <f>IF(ISBLANK(HLOOKUP($F$25,spelerslijsten!$B$1:$J$22,19,FALSE)),"",HLOOKUP($F$25,spelerslijsten!$B$1:$J$22,19,FALSE))</f>
        <v>Celine van de Heuvel</v>
      </c>
      <c r="F38" s="12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08">
        <f t="shared" si="23"/>
        <v>1</v>
      </c>
      <c r="W38" s="109" t="str">
        <f t="shared" si="24"/>
        <v/>
      </c>
      <c r="X38" s="110" t="str">
        <f t="shared" si="25"/>
        <v/>
      </c>
      <c r="Y38" s="103" t="str">
        <f t="shared" si="26"/>
        <v/>
      </c>
      <c r="Z38" s="111"/>
      <c r="AA38" s="112"/>
      <c r="AB38" s="113" t="str">
        <f t="shared" si="16"/>
        <v>-</v>
      </c>
      <c r="AC38" s="112"/>
      <c r="AD38" s="114"/>
      <c r="AE38" s="115"/>
      <c r="AF38" s="115"/>
      <c r="AG38" s="116"/>
      <c r="AH38" s="117"/>
      <c r="AI38" s="117"/>
      <c r="AJ38" s="342"/>
      <c r="AK38" s="343"/>
      <c r="AL38" s="346"/>
      <c r="AM38" s="347"/>
      <c r="AN38" s="118"/>
      <c r="AO38" s="101" t="str">
        <f t="shared" si="19"/>
        <v/>
      </c>
      <c r="AP38" s="113" t="str">
        <f t="shared" si="20"/>
        <v>-</v>
      </c>
      <c r="AQ38" s="119"/>
      <c r="AR38" s="103" t="str">
        <f t="shared" si="21"/>
        <v/>
      </c>
      <c r="AT38" s="38" t="str">
        <f t="shared" si="27"/>
        <v>B11</v>
      </c>
      <c r="AU38" s="38">
        <f t="shared" si="18"/>
        <v>0</v>
      </c>
      <c r="AY38" s="38" t="str">
        <f t="shared" si="1"/>
        <v/>
      </c>
      <c r="AZ38" s="38" t="str">
        <f t="shared" si="2"/>
        <v>0</v>
      </c>
      <c r="BA38" s="38" t="str">
        <f t="shared" si="3"/>
        <v>0</v>
      </c>
      <c r="BB38" s="38" t="str">
        <f t="shared" si="4"/>
        <v>0</v>
      </c>
      <c r="BC38" s="38">
        <f t="shared" si="5"/>
        <v>0</v>
      </c>
      <c r="BD38" s="38">
        <f t="shared" si="6"/>
        <v>0</v>
      </c>
      <c r="BL38" s="38" t="str">
        <f t="shared" si="7"/>
        <v/>
      </c>
      <c r="BM38" s="38" t="str">
        <f t="shared" si="8"/>
        <v/>
      </c>
      <c r="BN38" s="38" t="str">
        <f t="shared" si="9"/>
        <v/>
      </c>
      <c r="BO38" s="38" t="str">
        <f t="shared" si="10"/>
        <v/>
      </c>
      <c r="BP38" s="38" t="str">
        <f t="shared" si="11"/>
        <v/>
      </c>
      <c r="BQ38" s="38" t="str">
        <f t="shared" si="12"/>
        <v/>
      </c>
    </row>
    <row r="39" spans="1:69" ht="15.6" x14ac:dyDescent="0.3">
      <c r="A39" s="125"/>
      <c r="B39" s="397" t="str">
        <f>IF(ISBLANK(HLOOKUP($F$25,spelerslijsten!$B$1:$J$22,22,FALSE)),"",HLOOKUP($F$25,spelerslijsten!$B$1:$J$22,22,FALSE))</f>
        <v/>
      </c>
      <c r="C39" s="398"/>
      <c r="D39" s="126"/>
      <c r="E39" s="259" t="str">
        <f>IF(ISBLANK(HLOOKUP($F$25,spelerslijsten!$B$1:$J$22,21,FALSE)),"",HLOOKUP($F$25,spelerslijsten!$B$1:$J$22,21,FALSE))</f>
        <v/>
      </c>
      <c r="F39" s="126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08">
        <f t="shared" si="23"/>
        <v>0</v>
      </c>
      <c r="W39" s="109" t="str">
        <f t="shared" si="24"/>
        <v/>
      </c>
      <c r="X39" s="110" t="str">
        <f t="shared" si="25"/>
        <v/>
      </c>
      <c r="Y39" s="103" t="str">
        <f t="shared" si="26"/>
        <v/>
      </c>
      <c r="Z39" s="111"/>
      <c r="AA39" s="112"/>
      <c r="AB39" s="113" t="str">
        <f t="shared" si="16"/>
        <v>-</v>
      </c>
      <c r="AC39" s="112"/>
      <c r="AD39" s="114"/>
      <c r="AE39" s="115"/>
      <c r="AF39" s="115"/>
      <c r="AG39" s="116"/>
      <c r="AH39" s="117"/>
      <c r="AI39" s="117"/>
      <c r="AJ39" s="342"/>
      <c r="AK39" s="343"/>
      <c r="AL39" s="346"/>
      <c r="AM39" s="347"/>
      <c r="AN39" s="118"/>
      <c r="AO39" s="101" t="str">
        <f t="shared" si="19"/>
        <v/>
      </c>
      <c r="AP39" s="113" t="str">
        <f t="shared" si="20"/>
        <v>-</v>
      </c>
      <c r="AQ39" s="119"/>
      <c r="AR39" s="103" t="str">
        <f t="shared" si="21"/>
        <v/>
      </c>
      <c r="AT39" s="38" t="str">
        <f t="shared" si="27"/>
        <v>B</v>
      </c>
      <c r="AU39" s="38">
        <f t="shared" si="18"/>
        <v>0</v>
      </c>
      <c r="AY39" s="38" t="str">
        <f t="shared" si="1"/>
        <v/>
      </c>
      <c r="AZ39" s="38" t="str">
        <f t="shared" si="2"/>
        <v>0</v>
      </c>
      <c r="BA39" s="38" t="str">
        <f t="shared" si="3"/>
        <v>0</v>
      </c>
      <c r="BB39" s="38" t="str">
        <f t="shared" si="4"/>
        <v>0</v>
      </c>
      <c r="BC39" s="38">
        <f t="shared" si="5"/>
        <v>0</v>
      </c>
      <c r="BD39" s="38">
        <f t="shared" si="6"/>
        <v>0</v>
      </c>
      <c r="BL39" s="38" t="str">
        <f t="shared" si="7"/>
        <v/>
      </c>
      <c r="BM39" s="38" t="str">
        <f t="shared" si="8"/>
        <v/>
      </c>
      <c r="BN39" s="38" t="str">
        <f t="shared" si="9"/>
        <v/>
      </c>
      <c r="BO39" s="38" t="str">
        <f t="shared" si="10"/>
        <v/>
      </c>
      <c r="BP39" s="38" t="str">
        <f t="shared" si="11"/>
        <v/>
      </c>
      <c r="BQ39" s="38" t="str">
        <f t="shared" si="12"/>
        <v/>
      </c>
    </row>
    <row r="40" spans="1:69" ht="16.2" thickBot="1" x14ac:dyDescent="0.35">
      <c r="A40" s="71" t="s">
        <v>67</v>
      </c>
      <c r="B40" s="72"/>
      <c r="C40" s="72"/>
      <c r="D40" s="72"/>
      <c r="E40" s="72"/>
      <c r="F40" s="72"/>
      <c r="G40" s="72"/>
      <c r="H40" s="72"/>
      <c r="I40" s="399">
        <f>HLOOKUP(F25,spelerslijsten!B1:J25,25,FALSE)</f>
        <v>2</v>
      </c>
      <c r="J40" s="400"/>
      <c r="K40" s="74" t="s">
        <v>23</v>
      </c>
      <c r="L40" s="72"/>
      <c r="M40" s="72"/>
      <c r="N40" s="129" t="str">
        <f>HLOOKUP(F25,spelerslijsten!B1:J25,23,FALSE)</f>
        <v>Niels Venterink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30"/>
      <c r="Z40" s="111"/>
      <c r="AA40" s="112"/>
      <c r="AB40" s="113" t="str">
        <f t="shared" si="16"/>
        <v>-</v>
      </c>
      <c r="AC40" s="112"/>
      <c r="AD40" s="114"/>
      <c r="AE40" s="115"/>
      <c r="AF40" s="115"/>
      <c r="AG40" s="116"/>
      <c r="AH40" s="117"/>
      <c r="AI40" s="117"/>
      <c r="AJ40" s="342"/>
      <c r="AK40" s="343"/>
      <c r="AL40" s="346"/>
      <c r="AM40" s="347"/>
      <c r="AN40" s="118"/>
      <c r="AO40" s="101" t="str">
        <f t="shared" si="19"/>
        <v/>
      </c>
      <c r="AP40" s="113" t="str">
        <f t="shared" si="20"/>
        <v>-</v>
      </c>
      <c r="AQ40" s="119"/>
      <c r="AR40" s="103" t="str">
        <f t="shared" si="21"/>
        <v/>
      </c>
      <c r="AY40" s="38" t="str">
        <f t="shared" si="1"/>
        <v/>
      </c>
      <c r="AZ40" s="38" t="str">
        <f t="shared" si="2"/>
        <v>0</v>
      </c>
      <c r="BA40" s="38" t="str">
        <f t="shared" si="3"/>
        <v>0</v>
      </c>
      <c r="BB40" s="38" t="str">
        <f t="shared" si="4"/>
        <v>0</v>
      </c>
      <c r="BC40" s="38">
        <f t="shared" si="5"/>
        <v>0</v>
      </c>
      <c r="BD40" s="38">
        <f t="shared" si="6"/>
        <v>0</v>
      </c>
      <c r="BL40" s="38" t="str">
        <f t="shared" si="7"/>
        <v/>
      </c>
      <c r="BM40" s="38" t="str">
        <f t="shared" si="8"/>
        <v/>
      </c>
      <c r="BN40" s="38" t="str">
        <f t="shared" si="9"/>
        <v/>
      </c>
      <c r="BO40" s="38" t="str">
        <f t="shared" si="10"/>
        <v/>
      </c>
      <c r="BP40" s="38" t="str">
        <f t="shared" si="11"/>
        <v/>
      </c>
      <c r="BQ40" s="38" t="str">
        <f t="shared" si="12"/>
        <v/>
      </c>
    </row>
    <row r="41" spans="1:69" ht="15.6" x14ac:dyDescent="0.3">
      <c r="A41" s="157" t="s">
        <v>68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158"/>
      <c r="Z41" s="111"/>
      <c r="AA41" s="112"/>
      <c r="AB41" s="113" t="str">
        <f t="shared" si="16"/>
        <v>-</v>
      </c>
      <c r="AC41" s="112"/>
      <c r="AD41" s="114"/>
      <c r="AE41" s="115"/>
      <c r="AF41" s="115"/>
      <c r="AG41" s="116"/>
      <c r="AH41" s="117"/>
      <c r="AI41" s="117"/>
      <c r="AJ41" s="342"/>
      <c r="AK41" s="343"/>
      <c r="AL41" s="346"/>
      <c r="AM41" s="347"/>
      <c r="AN41" s="118"/>
      <c r="AO41" s="101" t="str">
        <f t="shared" si="19"/>
        <v/>
      </c>
      <c r="AP41" s="113" t="str">
        <f t="shared" si="20"/>
        <v>-</v>
      </c>
      <c r="AQ41" s="119"/>
      <c r="AR41" s="103" t="str">
        <f t="shared" si="21"/>
        <v/>
      </c>
      <c r="AY41" s="38" t="str">
        <f t="shared" si="1"/>
        <v/>
      </c>
      <c r="AZ41" s="38" t="str">
        <f t="shared" si="2"/>
        <v>0</v>
      </c>
      <c r="BA41" s="38" t="str">
        <f t="shared" si="3"/>
        <v>0</v>
      </c>
      <c r="BB41" s="38" t="str">
        <f t="shared" si="4"/>
        <v>0</v>
      </c>
      <c r="BC41" s="38">
        <f t="shared" si="5"/>
        <v>0</v>
      </c>
      <c r="BD41" s="38">
        <f t="shared" si="6"/>
        <v>0</v>
      </c>
      <c r="BL41" s="38" t="str">
        <f t="shared" si="7"/>
        <v/>
      </c>
      <c r="BM41" s="38" t="str">
        <f t="shared" si="8"/>
        <v/>
      </c>
      <c r="BN41" s="38" t="str">
        <f t="shared" si="9"/>
        <v/>
      </c>
      <c r="BO41" s="38" t="str">
        <f t="shared" si="10"/>
        <v/>
      </c>
      <c r="BP41" s="38" t="str">
        <f t="shared" si="11"/>
        <v/>
      </c>
      <c r="BQ41" s="38" t="str">
        <f t="shared" si="12"/>
        <v/>
      </c>
    </row>
    <row r="42" spans="1:69" ht="15.6" x14ac:dyDescent="0.3">
      <c r="A42" s="15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60"/>
      <c r="Z42" s="111"/>
      <c r="AA42" s="112"/>
      <c r="AB42" s="113" t="str">
        <f t="shared" si="16"/>
        <v>-</v>
      </c>
      <c r="AC42" s="112"/>
      <c r="AD42" s="114"/>
      <c r="AE42" s="115"/>
      <c r="AF42" s="115"/>
      <c r="AG42" s="116"/>
      <c r="AH42" s="117"/>
      <c r="AI42" s="117"/>
      <c r="AJ42" s="342"/>
      <c r="AK42" s="343"/>
      <c r="AL42" s="346"/>
      <c r="AM42" s="347"/>
      <c r="AN42" s="118"/>
      <c r="AO42" s="101" t="str">
        <f t="shared" si="19"/>
        <v/>
      </c>
      <c r="AP42" s="113" t="str">
        <f t="shared" si="20"/>
        <v>-</v>
      </c>
      <c r="AQ42" s="119"/>
      <c r="AR42" s="103" t="str">
        <f t="shared" si="21"/>
        <v/>
      </c>
      <c r="AY42" s="38" t="str">
        <f t="shared" si="1"/>
        <v/>
      </c>
      <c r="AZ42" s="38" t="str">
        <f t="shared" si="2"/>
        <v>0</v>
      </c>
      <c r="BA42" s="38" t="str">
        <f t="shared" si="3"/>
        <v>0</v>
      </c>
      <c r="BB42" s="38" t="str">
        <f t="shared" si="4"/>
        <v>0</v>
      </c>
      <c r="BC42" s="38">
        <f t="shared" si="5"/>
        <v>0</v>
      </c>
      <c r="BD42" s="38">
        <f t="shared" si="6"/>
        <v>0</v>
      </c>
      <c r="BL42" s="38" t="str">
        <f t="shared" si="7"/>
        <v/>
      </c>
      <c r="BM42" s="38" t="str">
        <f t="shared" si="8"/>
        <v/>
      </c>
      <c r="BN42" s="38" t="str">
        <f t="shared" si="9"/>
        <v/>
      </c>
      <c r="BO42" s="38" t="str">
        <f t="shared" si="10"/>
        <v/>
      </c>
      <c r="BP42" s="38" t="str">
        <f t="shared" si="11"/>
        <v/>
      </c>
      <c r="BQ42" s="38" t="str">
        <f t="shared" si="12"/>
        <v/>
      </c>
    </row>
    <row r="43" spans="1:69" ht="15.6" x14ac:dyDescent="0.3">
      <c r="A43" s="16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62"/>
      <c r="Z43" s="111"/>
      <c r="AA43" s="112"/>
      <c r="AB43" s="113" t="str">
        <f t="shared" si="16"/>
        <v>-</v>
      </c>
      <c r="AC43" s="112"/>
      <c r="AD43" s="114"/>
      <c r="AE43" s="115"/>
      <c r="AF43" s="115"/>
      <c r="AG43" s="116"/>
      <c r="AH43" s="117"/>
      <c r="AI43" s="117"/>
      <c r="AJ43" s="342"/>
      <c r="AK43" s="343"/>
      <c r="AL43" s="346"/>
      <c r="AM43" s="347"/>
      <c r="AN43" s="118"/>
      <c r="AO43" s="101" t="str">
        <f t="shared" si="19"/>
        <v/>
      </c>
      <c r="AP43" s="113" t="str">
        <f t="shared" si="20"/>
        <v>-</v>
      </c>
      <c r="AQ43" s="119"/>
      <c r="AR43" s="103" t="str">
        <f t="shared" si="21"/>
        <v/>
      </c>
      <c r="AY43" s="38" t="str">
        <f t="shared" si="1"/>
        <v/>
      </c>
      <c r="AZ43" s="38" t="str">
        <f t="shared" si="2"/>
        <v>0</v>
      </c>
      <c r="BA43" s="38" t="str">
        <f t="shared" si="3"/>
        <v>0</v>
      </c>
      <c r="BB43" s="38" t="str">
        <f t="shared" si="4"/>
        <v>0</v>
      </c>
      <c r="BC43" s="38">
        <f t="shared" si="5"/>
        <v>0</v>
      </c>
      <c r="BD43" s="38">
        <f t="shared" si="6"/>
        <v>0</v>
      </c>
      <c r="BL43" s="38" t="str">
        <f t="shared" si="7"/>
        <v/>
      </c>
      <c r="BM43" s="38" t="str">
        <f t="shared" si="8"/>
        <v/>
      </c>
      <c r="BN43" s="38" t="str">
        <f t="shared" si="9"/>
        <v/>
      </c>
      <c r="BO43" s="38" t="str">
        <f t="shared" si="10"/>
        <v/>
      </c>
      <c r="BP43" s="38" t="str">
        <f t="shared" si="11"/>
        <v/>
      </c>
      <c r="BQ43" s="38" t="str">
        <f t="shared" si="12"/>
        <v/>
      </c>
    </row>
    <row r="44" spans="1:69" ht="15.6" x14ac:dyDescent="0.3">
      <c r="A44" s="16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62"/>
      <c r="Z44" s="111"/>
      <c r="AA44" s="112"/>
      <c r="AB44" s="113" t="str">
        <f t="shared" si="16"/>
        <v>-</v>
      </c>
      <c r="AC44" s="112"/>
      <c r="AD44" s="114"/>
      <c r="AE44" s="115"/>
      <c r="AF44" s="115"/>
      <c r="AG44" s="116"/>
      <c r="AH44" s="117"/>
      <c r="AI44" s="117"/>
      <c r="AJ44" s="342"/>
      <c r="AK44" s="343"/>
      <c r="AL44" s="346"/>
      <c r="AM44" s="347"/>
      <c r="AN44" s="118"/>
      <c r="AO44" s="101" t="str">
        <f t="shared" si="19"/>
        <v/>
      </c>
      <c r="AP44" s="113" t="str">
        <f t="shared" si="20"/>
        <v>-</v>
      </c>
      <c r="AQ44" s="119"/>
      <c r="AR44" s="103" t="str">
        <f t="shared" si="21"/>
        <v/>
      </c>
      <c r="AY44" s="38" t="str">
        <f t="shared" si="1"/>
        <v/>
      </c>
      <c r="AZ44" s="38" t="str">
        <f t="shared" si="2"/>
        <v>0</v>
      </c>
      <c r="BA44" s="38" t="str">
        <f t="shared" si="3"/>
        <v>0</v>
      </c>
      <c r="BB44" s="38" t="str">
        <f t="shared" si="4"/>
        <v>0</v>
      </c>
      <c r="BC44" s="38">
        <f t="shared" si="5"/>
        <v>0</v>
      </c>
      <c r="BD44" s="38">
        <f t="shared" si="6"/>
        <v>0</v>
      </c>
      <c r="BL44" s="38" t="str">
        <f t="shared" si="7"/>
        <v/>
      </c>
      <c r="BM44" s="38" t="str">
        <f t="shared" si="8"/>
        <v/>
      </c>
      <c r="BN44" s="38" t="str">
        <f t="shared" si="9"/>
        <v/>
      </c>
      <c r="BO44" s="38" t="str">
        <f t="shared" si="10"/>
        <v/>
      </c>
      <c r="BP44" s="38" t="str">
        <f t="shared" si="11"/>
        <v/>
      </c>
      <c r="BQ44" s="38" t="str">
        <f t="shared" si="12"/>
        <v/>
      </c>
    </row>
    <row r="45" spans="1:69" ht="15.6" x14ac:dyDescent="0.3">
      <c r="A45" s="16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62"/>
      <c r="Z45" s="111"/>
      <c r="AA45" s="112"/>
      <c r="AB45" s="113" t="str">
        <f>+AB44</f>
        <v>-</v>
      </c>
      <c r="AC45" s="112"/>
      <c r="AD45" s="114"/>
      <c r="AE45" s="115"/>
      <c r="AF45" s="115"/>
      <c r="AG45" s="116"/>
      <c r="AH45" s="117"/>
      <c r="AI45" s="117"/>
      <c r="AJ45" s="342"/>
      <c r="AK45" s="343"/>
      <c r="AL45" s="346"/>
      <c r="AM45" s="347"/>
      <c r="AN45" s="118"/>
      <c r="AO45" s="101" t="str">
        <f t="shared" si="19"/>
        <v/>
      </c>
      <c r="AP45" s="113" t="str">
        <f t="shared" si="20"/>
        <v>-</v>
      </c>
      <c r="AQ45" s="119"/>
      <c r="AR45" s="103" t="str">
        <f t="shared" si="21"/>
        <v/>
      </c>
      <c r="AY45" s="38" t="str">
        <f t="shared" si="1"/>
        <v/>
      </c>
      <c r="AZ45" s="38" t="str">
        <f t="shared" si="2"/>
        <v>0</v>
      </c>
      <c r="BA45" s="38" t="str">
        <f t="shared" si="3"/>
        <v>0</v>
      </c>
      <c r="BB45" s="38" t="str">
        <f t="shared" si="4"/>
        <v>0</v>
      </c>
      <c r="BC45" s="38">
        <f t="shared" si="5"/>
        <v>0</v>
      </c>
      <c r="BD45" s="38">
        <f t="shared" si="6"/>
        <v>0</v>
      </c>
      <c r="BL45" s="38" t="str">
        <f t="shared" si="7"/>
        <v/>
      </c>
      <c r="BM45" s="38" t="str">
        <f t="shared" si="8"/>
        <v/>
      </c>
      <c r="BN45" s="38" t="str">
        <f t="shared" si="9"/>
        <v/>
      </c>
      <c r="BO45" s="38" t="str">
        <f t="shared" si="10"/>
        <v/>
      </c>
      <c r="BP45" s="38" t="str">
        <f t="shared" si="11"/>
        <v/>
      </c>
      <c r="BQ45" s="38" t="str">
        <f t="shared" si="12"/>
        <v/>
      </c>
    </row>
    <row r="46" spans="1:69" ht="16.2" thickBot="1" x14ac:dyDescent="0.35">
      <c r="A46" s="163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64"/>
      <c r="Z46" s="165"/>
      <c r="AA46" s="166"/>
      <c r="AB46" s="167" t="str">
        <f>+AB45</f>
        <v>-</v>
      </c>
      <c r="AC46" s="166"/>
      <c r="AD46" s="168"/>
      <c r="AE46" s="169"/>
      <c r="AF46" s="169"/>
      <c r="AG46" s="170"/>
      <c r="AH46" s="171"/>
      <c r="AI46" s="171"/>
      <c r="AJ46" s="344"/>
      <c r="AK46" s="345"/>
      <c r="AL46" s="352"/>
      <c r="AM46" s="353"/>
      <c r="AN46" s="172"/>
      <c r="AO46" s="101" t="str">
        <f t="shared" si="19"/>
        <v/>
      </c>
      <c r="AP46" s="113" t="str">
        <f t="shared" si="20"/>
        <v>-</v>
      </c>
      <c r="AQ46" s="119"/>
      <c r="AR46" s="103" t="str">
        <f t="shared" si="21"/>
        <v/>
      </c>
      <c r="AY46" s="38" t="str">
        <f t="shared" si="1"/>
        <v/>
      </c>
      <c r="AZ46" s="38" t="str">
        <f t="shared" si="2"/>
        <v>0</v>
      </c>
      <c r="BA46" s="38" t="str">
        <f t="shared" si="3"/>
        <v>0</v>
      </c>
      <c r="BB46" s="38" t="str">
        <f t="shared" si="4"/>
        <v>0</v>
      </c>
      <c r="BC46" s="38">
        <f t="shared" si="5"/>
        <v>0</v>
      </c>
      <c r="BD46" s="38">
        <f t="shared" si="6"/>
        <v>0</v>
      </c>
      <c r="BL46" s="38" t="str">
        <f t="shared" si="7"/>
        <v/>
      </c>
      <c r="BM46" s="38" t="str">
        <f t="shared" si="8"/>
        <v/>
      </c>
      <c r="BN46" s="38" t="str">
        <f t="shared" si="9"/>
        <v/>
      </c>
      <c r="BO46" s="38" t="str">
        <f t="shared" si="10"/>
        <v/>
      </c>
      <c r="BP46" s="38" t="str">
        <f t="shared" si="11"/>
        <v/>
      </c>
      <c r="BQ46" s="38" t="str">
        <f t="shared" si="12"/>
        <v/>
      </c>
    </row>
    <row r="47" spans="1:69" ht="18.600000000000001" thickBot="1" x14ac:dyDescent="0.35">
      <c r="A47" s="173" t="s">
        <v>69</v>
      </c>
      <c r="B47" s="174"/>
      <c r="C47" s="174"/>
      <c r="D47" s="174"/>
      <c r="E47" s="174"/>
      <c r="F47" s="174"/>
      <c r="G47" s="174">
        <f>IF(AO52&gt;AR52,AO52,IF(AO52=AR52,AO52,AR52))</f>
        <v>9</v>
      </c>
      <c r="H47" s="175" t="s">
        <v>16</v>
      </c>
      <c r="I47" s="174">
        <f>IF(AO52&gt;AR52,AR52,IF(AO52=AR52,AR52,AO52))</f>
        <v>4</v>
      </c>
      <c r="J47" s="174"/>
      <c r="K47" s="174" t="s">
        <v>70</v>
      </c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6" t="str">
        <f>BE52</f>
        <v>BLAUW</v>
      </c>
      <c r="W47" s="174"/>
      <c r="X47" s="174"/>
      <c r="Y47" s="174"/>
      <c r="Z47" s="174"/>
      <c r="AA47" s="174"/>
      <c r="AB47" s="174"/>
      <c r="AC47" s="174"/>
      <c r="AD47" s="177"/>
      <c r="AE47" s="178" t="s">
        <v>71</v>
      </c>
      <c r="AF47" s="179"/>
      <c r="AG47" s="179"/>
      <c r="AH47" s="179"/>
      <c r="AI47" s="179"/>
      <c r="AJ47" s="174"/>
      <c r="AK47" s="174"/>
      <c r="AL47" s="403" t="s">
        <v>177</v>
      </c>
      <c r="AM47" s="404"/>
      <c r="AN47" s="404"/>
      <c r="AO47" s="404"/>
      <c r="AP47" s="404"/>
      <c r="AQ47" s="404"/>
      <c r="AR47" s="405"/>
    </row>
    <row r="48" spans="1:69" x14ac:dyDescent="0.3">
      <c r="A48" s="180" t="s">
        <v>72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2"/>
      <c r="P48" s="183" t="s">
        <v>72</v>
      </c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2"/>
      <c r="AC48" s="181"/>
      <c r="AD48" s="184"/>
      <c r="AE48" s="185" t="s">
        <v>72</v>
      </c>
      <c r="AF48" s="186"/>
      <c r="AG48" s="186"/>
      <c r="AH48" s="186"/>
      <c r="AI48" s="186"/>
      <c r="AJ48" s="181"/>
      <c r="AK48" s="181"/>
      <c r="AL48" s="181"/>
      <c r="AM48" s="181"/>
      <c r="AN48" s="181"/>
      <c r="AO48" s="186"/>
      <c r="AP48" s="181"/>
      <c r="AQ48" s="181"/>
      <c r="AR48" s="187"/>
    </row>
    <row r="49" spans="1:57" x14ac:dyDescent="0.3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/>
      <c r="P49" s="191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90"/>
      <c r="AC49" s="189"/>
      <c r="AD49" s="192"/>
      <c r="AE49" s="193"/>
      <c r="AF49" s="193"/>
      <c r="AG49" s="193"/>
      <c r="AH49" s="193"/>
      <c r="AI49" s="193"/>
      <c r="AJ49" s="189"/>
      <c r="AK49" s="189"/>
      <c r="AL49" s="189"/>
      <c r="AM49" s="189"/>
      <c r="AN49" s="189"/>
      <c r="AO49" s="193"/>
      <c r="AP49" s="189"/>
      <c r="AQ49" s="189"/>
      <c r="AR49" s="194"/>
    </row>
    <row r="50" spans="1:57" ht="14.4" thickBot="1" x14ac:dyDescent="0.3">
      <c r="A50" s="195" t="s">
        <v>73</v>
      </c>
      <c r="B50" s="196"/>
      <c r="C50" s="196"/>
      <c r="D50" s="196"/>
      <c r="E50" s="196"/>
      <c r="F50" s="196"/>
      <c r="G50" s="196"/>
      <c r="H50" s="197" t="s">
        <v>74</v>
      </c>
      <c r="I50" s="196"/>
      <c r="J50" s="196"/>
      <c r="K50" s="196"/>
      <c r="L50" s="196"/>
      <c r="M50" s="196"/>
      <c r="N50" s="196"/>
      <c r="O50" s="198"/>
      <c r="P50" s="199" t="s">
        <v>73</v>
      </c>
      <c r="Q50" s="196"/>
      <c r="R50" s="196"/>
      <c r="S50" s="196"/>
      <c r="T50" s="196"/>
      <c r="U50" s="196"/>
      <c r="V50" s="196"/>
      <c r="W50" s="197" t="s">
        <v>75</v>
      </c>
      <c r="X50" s="196"/>
      <c r="Y50" s="196"/>
      <c r="Z50" s="196"/>
      <c r="AA50" s="196"/>
      <c r="AB50" s="198"/>
      <c r="AC50" s="196"/>
      <c r="AD50" s="200"/>
      <c r="AE50" s="201" t="s">
        <v>25</v>
      </c>
      <c r="AF50" s="202"/>
      <c r="AG50" s="202"/>
      <c r="AH50" s="202"/>
      <c r="AI50" s="202"/>
      <c r="AJ50" s="203"/>
      <c r="AK50" s="203"/>
      <c r="AL50" s="203"/>
      <c r="AM50" s="203"/>
      <c r="AN50" s="203"/>
      <c r="AO50" s="202"/>
      <c r="AP50" s="203"/>
      <c r="AQ50" s="203"/>
      <c r="AR50" s="204"/>
    </row>
    <row r="52" spans="1:57" hidden="1" x14ac:dyDescent="0.3">
      <c r="AO52" s="40">
        <f>IF(AO13="","",MAX(AO13:AO46))</f>
        <v>4</v>
      </c>
      <c r="AR52" s="40">
        <f>IF(AR13="","",MAX(AR13:AR46))</f>
        <v>9</v>
      </c>
      <c r="AS52" s="38" t="str">
        <f>IF(AO13="","0","1")</f>
        <v>1</v>
      </c>
      <c r="BE52" s="38" t="str">
        <f>IF(AS52="0","WIT/BLAUW",IF(AO52&gt;AR52,"WIT",IF(AO52=AR52,"GELIJK","BLAUW")))</f>
        <v>BLAUW</v>
      </c>
    </row>
  </sheetData>
  <sheetProtection sheet="1" objects="1" scenarios="1"/>
  <mergeCells count="107">
    <mergeCell ref="B14:C14"/>
    <mergeCell ref="B15:C15"/>
    <mergeCell ref="B16:C16"/>
    <mergeCell ref="AJ17:AK17"/>
    <mergeCell ref="G4:I4"/>
    <mergeCell ref="K4:M4"/>
    <mergeCell ref="AH6:AR6"/>
    <mergeCell ref="F10:Y12"/>
    <mergeCell ref="Z10:AD12"/>
    <mergeCell ref="AJ10:AK12"/>
    <mergeCell ref="AL10:AM12"/>
    <mergeCell ref="AN10:AR11"/>
    <mergeCell ref="A11:D12"/>
    <mergeCell ref="AN12:AO12"/>
    <mergeCell ref="AQ12:AR12"/>
    <mergeCell ref="B30:C30"/>
    <mergeCell ref="B18:C18"/>
    <mergeCell ref="B19:C19"/>
    <mergeCell ref="B20:C20"/>
    <mergeCell ref="B21:C21"/>
    <mergeCell ref="B22:C22"/>
    <mergeCell ref="B23:C23"/>
    <mergeCell ref="AJ18:AK18"/>
    <mergeCell ref="AJ19:AK19"/>
    <mergeCell ref="AJ20:AK20"/>
    <mergeCell ref="AJ21:AK21"/>
    <mergeCell ref="AJ29:AK29"/>
    <mergeCell ref="AJ30:AK30"/>
    <mergeCell ref="B37:C37"/>
    <mergeCell ref="B38:C38"/>
    <mergeCell ref="B39:C39"/>
    <mergeCell ref="I40:J40"/>
    <mergeCell ref="B31:C31"/>
    <mergeCell ref="B32:C32"/>
    <mergeCell ref="B33:C33"/>
    <mergeCell ref="B34:C34"/>
    <mergeCell ref="B35:C35"/>
    <mergeCell ref="B36:C36"/>
    <mergeCell ref="AL26:AM26"/>
    <mergeCell ref="AL17:AM17"/>
    <mergeCell ref="AL18:AM18"/>
    <mergeCell ref="AL19:AM19"/>
    <mergeCell ref="AL20:AM20"/>
    <mergeCell ref="AL21:AM21"/>
    <mergeCell ref="D3:N3"/>
    <mergeCell ref="AL13:AM13"/>
    <mergeCell ref="AL14:AM14"/>
    <mergeCell ref="AL15:AM15"/>
    <mergeCell ref="AL16:AM16"/>
    <mergeCell ref="AJ13:AK13"/>
    <mergeCell ref="AJ14:AK14"/>
    <mergeCell ref="AJ15:AK15"/>
    <mergeCell ref="AJ16:AK16"/>
    <mergeCell ref="I24:J24"/>
    <mergeCell ref="F25:Y28"/>
    <mergeCell ref="A26:D28"/>
    <mergeCell ref="AL27:AM27"/>
    <mergeCell ref="AL28:AM28"/>
    <mergeCell ref="AJ27:AK27"/>
    <mergeCell ref="AJ28:AK28"/>
    <mergeCell ref="B17:C17"/>
    <mergeCell ref="D4:E4"/>
    <mergeCell ref="BF4:BI6"/>
    <mergeCell ref="AL47:AR47"/>
    <mergeCell ref="AL44:AM44"/>
    <mergeCell ref="AL45:AM45"/>
    <mergeCell ref="AL46:AM46"/>
    <mergeCell ref="AL39:AM39"/>
    <mergeCell ref="AL40:AM40"/>
    <mergeCell ref="AL41:AM41"/>
    <mergeCell ref="AL42:AM42"/>
    <mergeCell ref="AL43:AM43"/>
    <mergeCell ref="AL34:AM34"/>
    <mergeCell ref="AL35:AM35"/>
    <mergeCell ref="AL36:AM36"/>
    <mergeCell ref="AL37:AM37"/>
    <mergeCell ref="AL38:AM38"/>
    <mergeCell ref="AL29:AM29"/>
    <mergeCell ref="AL30:AM30"/>
    <mergeCell ref="AL31:AM31"/>
    <mergeCell ref="AL32:AM32"/>
    <mergeCell ref="AL33:AM33"/>
    <mergeCell ref="AL22:AM22"/>
    <mergeCell ref="AL23:AM23"/>
    <mergeCell ref="AL24:AM24"/>
    <mergeCell ref="AL25:AM25"/>
    <mergeCell ref="AJ31:AK31"/>
    <mergeCell ref="AJ32:AK32"/>
    <mergeCell ref="AJ33:AK33"/>
    <mergeCell ref="AJ22:AK22"/>
    <mergeCell ref="AJ23:AK23"/>
    <mergeCell ref="AJ24:AK24"/>
    <mergeCell ref="AJ25:AK25"/>
    <mergeCell ref="AJ26:AK26"/>
    <mergeCell ref="AJ44:AK44"/>
    <mergeCell ref="AJ45:AK45"/>
    <mergeCell ref="AJ46:AK46"/>
    <mergeCell ref="AJ39:AK39"/>
    <mergeCell ref="AJ40:AK40"/>
    <mergeCell ref="AJ41:AK41"/>
    <mergeCell ref="AJ42:AK42"/>
    <mergeCell ref="AJ43:AK43"/>
    <mergeCell ref="AJ34:AK34"/>
    <mergeCell ref="AJ35:AK35"/>
    <mergeCell ref="AJ36:AK36"/>
    <mergeCell ref="AJ37:AK37"/>
    <mergeCell ref="AJ38:AK38"/>
  </mergeCells>
  <dataValidations count="1">
    <dataValidation type="list" allowBlank="1" showInputMessage="1" showErrorMessage="1" sqref="AL47:AR47" xr:uid="{7BE80682-2A75-4E74-B809-73BE581026F6}">
      <formula1>"JA/NEE,JA,NEE"</formula1>
    </dataValidation>
  </dataValidations>
  <hyperlinks>
    <hyperlink ref="BF4:BI6" location="Wedstrijden!A1" display="Wedstrijdschema" xr:uid="{8B947736-D5FA-44B7-83CF-3846BAAEE55E}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/>
  <dimension ref="A1:IV52"/>
  <sheetViews>
    <sheetView workbookViewId="0">
      <selection activeCell="BF4" sqref="BF4:BI6"/>
    </sheetView>
  </sheetViews>
  <sheetFormatPr defaultRowHeight="13.8" x14ac:dyDescent="0.3"/>
  <cols>
    <col min="1" max="6" width="2.33203125" style="38" customWidth="1"/>
    <col min="7" max="7" width="3.33203125" style="38" customWidth="1"/>
    <col min="8" max="8" width="2.33203125" style="38" customWidth="1"/>
    <col min="9" max="9" width="3.33203125" style="38" customWidth="1"/>
    <col min="10" max="25" width="2.33203125" style="38" customWidth="1"/>
    <col min="26" max="28" width="2.109375" style="38" customWidth="1"/>
    <col min="29" max="29" width="3" style="38" customWidth="1"/>
    <col min="30" max="30" width="2.109375" style="39" customWidth="1"/>
    <col min="31" max="35" width="2.33203125" style="40" customWidth="1"/>
    <col min="36" max="39" width="2.33203125" style="38" customWidth="1"/>
    <col min="40" max="40" width="2.109375" style="38" customWidth="1"/>
    <col min="41" max="41" width="3.33203125" style="40" customWidth="1"/>
    <col min="42" max="43" width="2.109375" style="38" customWidth="1"/>
    <col min="44" max="44" width="3.33203125" style="40" customWidth="1"/>
    <col min="45" max="45" width="9.109375" style="38"/>
    <col min="46" max="56" width="9.109375" style="38" hidden="1" customWidth="1"/>
    <col min="57" max="62" width="9.109375" style="38"/>
    <col min="63" max="69" width="0" style="38" hidden="1" customWidth="1"/>
    <col min="70" max="256" width="9.109375" style="38"/>
    <col min="257" max="281" width="2.33203125" style="38" customWidth="1"/>
    <col min="282" max="286" width="2.109375" style="38" customWidth="1"/>
    <col min="287" max="295" width="2.33203125" style="38" customWidth="1"/>
    <col min="296" max="300" width="2.109375" style="38" customWidth="1"/>
    <col min="301" max="512" width="9.109375" style="38"/>
    <col min="513" max="537" width="2.33203125" style="38" customWidth="1"/>
    <col min="538" max="542" width="2.109375" style="38" customWidth="1"/>
    <col min="543" max="551" width="2.33203125" style="38" customWidth="1"/>
    <col min="552" max="556" width="2.109375" style="38" customWidth="1"/>
    <col min="557" max="768" width="9.109375" style="38"/>
    <col min="769" max="793" width="2.33203125" style="38" customWidth="1"/>
    <col min="794" max="798" width="2.109375" style="38" customWidth="1"/>
    <col min="799" max="807" width="2.33203125" style="38" customWidth="1"/>
    <col min="808" max="812" width="2.109375" style="38" customWidth="1"/>
    <col min="813" max="1024" width="9.109375" style="38"/>
    <col min="1025" max="1049" width="2.33203125" style="38" customWidth="1"/>
    <col min="1050" max="1054" width="2.109375" style="38" customWidth="1"/>
    <col min="1055" max="1063" width="2.33203125" style="38" customWidth="1"/>
    <col min="1064" max="1068" width="2.109375" style="38" customWidth="1"/>
    <col min="1069" max="1280" width="9.109375" style="38"/>
    <col min="1281" max="1305" width="2.33203125" style="38" customWidth="1"/>
    <col min="1306" max="1310" width="2.109375" style="38" customWidth="1"/>
    <col min="1311" max="1319" width="2.33203125" style="38" customWidth="1"/>
    <col min="1320" max="1324" width="2.109375" style="38" customWidth="1"/>
    <col min="1325" max="1536" width="9.109375" style="38"/>
    <col min="1537" max="1561" width="2.33203125" style="38" customWidth="1"/>
    <col min="1562" max="1566" width="2.109375" style="38" customWidth="1"/>
    <col min="1567" max="1575" width="2.33203125" style="38" customWidth="1"/>
    <col min="1576" max="1580" width="2.109375" style="38" customWidth="1"/>
    <col min="1581" max="1792" width="9.109375" style="38"/>
    <col min="1793" max="1817" width="2.33203125" style="38" customWidth="1"/>
    <col min="1818" max="1822" width="2.109375" style="38" customWidth="1"/>
    <col min="1823" max="1831" width="2.33203125" style="38" customWidth="1"/>
    <col min="1832" max="1836" width="2.109375" style="38" customWidth="1"/>
    <col min="1837" max="2048" width="9.109375" style="38"/>
    <col min="2049" max="2073" width="2.33203125" style="38" customWidth="1"/>
    <col min="2074" max="2078" width="2.109375" style="38" customWidth="1"/>
    <col min="2079" max="2087" width="2.33203125" style="38" customWidth="1"/>
    <col min="2088" max="2092" width="2.109375" style="38" customWidth="1"/>
    <col min="2093" max="2304" width="9.109375" style="38"/>
    <col min="2305" max="2329" width="2.33203125" style="38" customWidth="1"/>
    <col min="2330" max="2334" width="2.109375" style="38" customWidth="1"/>
    <col min="2335" max="2343" width="2.33203125" style="38" customWidth="1"/>
    <col min="2344" max="2348" width="2.109375" style="38" customWidth="1"/>
    <col min="2349" max="2560" width="9.109375" style="38"/>
    <col min="2561" max="2585" width="2.33203125" style="38" customWidth="1"/>
    <col min="2586" max="2590" width="2.109375" style="38" customWidth="1"/>
    <col min="2591" max="2599" width="2.33203125" style="38" customWidth="1"/>
    <col min="2600" max="2604" width="2.109375" style="38" customWidth="1"/>
    <col min="2605" max="2816" width="9.109375" style="38"/>
    <col min="2817" max="2841" width="2.33203125" style="38" customWidth="1"/>
    <col min="2842" max="2846" width="2.109375" style="38" customWidth="1"/>
    <col min="2847" max="2855" width="2.33203125" style="38" customWidth="1"/>
    <col min="2856" max="2860" width="2.109375" style="38" customWidth="1"/>
    <col min="2861" max="3072" width="9.109375" style="38"/>
    <col min="3073" max="3097" width="2.33203125" style="38" customWidth="1"/>
    <col min="3098" max="3102" width="2.109375" style="38" customWidth="1"/>
    <col min="3103" max="3111" width="2.33203125" style="38" customWidth="1"/>
    <col min="3112" max="3116" width="2.109375" style="38" customWidth="1"/>
    <col min="3117" max="3328" width="9.109375" style="38"/>
    <col min="3329" max="3353" width="2.33203125" style="38" customWidth="1"/>
    <col min="3354" max="3358" width="2.109375" style="38" customWidth="1"/>
    <col min="3359" max="3367" width="2.33203125" style="38" customWidth="1"/>
    <col min="3368" max="3372" width="2.109375" style="38" customWidth="1"/>
    <col min="3373" max="3584" width="9.109375" style="38"/>
    <col min="3585" max="3609" width="2.33203125" style="38" customWidth="1"/>
    <col min="3610" max="3614" width="2.109375" style="38" customWidth="1"/>
    <col min="3615" max="3623" width="2.33203125" style="38" customWidth="1"/>
    <col min="3624" max="3628" width="2.109375" style="38" customWidth="1"/>
    <col min="3629" max="3840" width="9.109375" style="38"/>
    <col min="3841" max="3865" width="2.33203125" style="38" customWidth="1"/>
    <col min="3866" max="3870" width="2.109375" style="38" customWidth="1"/>
    <col min="3871" max="3879" width="2.33203125" style="38" customWidth="1"/>
    <col min="3880" max="3884" width="2.109375" style="38" customWidth="1"/>
    <col min="3885" max="4096" width="9.109375" style="38"/>
    <col min="4097" max="4121" width="2.33203125" style="38" customWidth="1"/>
    <col min="4122" max="4126" width="2.109375" style="38" customWidth="1"/>
    <col min="4127" max="4135" width="2.33203125" style="38" customWidth="1"/>
    <col min="4136" max="4140" width="2.109375" style="38" customWidth="1"/>
    <col min="4141" max="4352" width="9.109375" style="38"/>
    <col min="4353" max="4377" width="2.33203125" style="38" customWidth="1"/>
    <col min="4378" max="4382" width="2.109375" style="38" customWidth="1"/>
    <col min="4383" max="4391" width="2.33203125" style="38" customWidth="1"/>
    <col min="4392" max="4396" width="2.109375" style="38" customWidth="1"/>
    <col min="4397" max="4608" width="9.109375" style="38"/>
    <col min="4609" max="4633" width="2.33203125" style="38" customWidth="1"/>
    <col min="4634" max="4638" width="2.109375" style="38" customWidth="1"/>
    <col min="4639" max="4647" width="2.33203125" style="38" customWidth="1"/>
    <col min="4648" max="4652" width="2.109375" style="38" customWidth="1"/>
    <col min="4653" max="4864" width="9.109375" style="38"/>
    <col min="4865" max="4889" width="2.33203125" style="38" customWidth="1"/>
    <col min="4890" max="4894" width="2.109375" style="38" customWidth="1"/>
    <col min="4895" max="4903" width="2.33203125" style="38" customWidth="1"/>
    <col min="4904" max="4908" width="2.109375" style="38" customWidth="1"/>
    <col min="4909" max="5120" width="9.109375" style="38"/>
    <col min="5121" max="5145" width="2.33203125" style="38" customWidth="1"/>
    <col min="5146" max="5150" width="2.109375" style="38" customWidth="1"/>
    <col min="5151" max="5159" width="2.33203125" style="38" customWidth="1"/>
    <col min="5160" max="5164" width="2.109375" style="38" customWidth="1"/>
    <col min="5165" max="5376" width="9.109375" style="38"/>
    <col min="5377" max="5401" width="2.33203125" style="38" customWidth="1"/>
    <col min="5402" max="5406" width="2.109375" style="38" customWidth="1"/>
    <col min="5407" max="5415" width="2.33203125" style="38" customWidth="1"/>
    <col min="5416" max="5420" width="2.109375" style="38" customWidth="1"/>
    <col min="5421" max="5632" width="9.109375" style="38"/>
    <col min="5633" max="5657" width="2.33203125" style="38" customWidth="1"/>
    <col min="5658" max="5662" width="2.109375" style="38" customWidth="1"/>
    <col min="5663" max="5671" width="2.33203125" style="38" customWidth="1"/>
    <col min="5672" max="5676" width="2.109375" style="38" customWidth="1"/>
    <col min="5677" max="5888" width="9.109375" style="38"/>
    <col min="5889" max="5913" width="2.33203125" style="38" customWidth="1"/>
    <col min="5914" max="5918" width="2.109375" style="38" customWidth="1"/>
    <col min="5919" max="5927" width="2.33203125" style="38" customWidth="1"/>
    <col min="5928" max="5932" width="2.109375" style="38" customWidth="1"/>
    <col min="5933" max="6144" width="9.109375" style="38"/>
    <col min="6145" max="6169" width="2.33203125" style="38" customWidth="1"/>
    <col min="6170" max="6174" width="2.109375" style="38" customWidth="1"/>
    <col min="6175" max="6183" width="2.33203125" style="38" customWidth="1"/>
    <col min="6184" max="6188" width="2.109375" style="38" customWidth="1"/>
    <col min="6189" max="6400" width="9.109375" style="38"/>
    <col min="6401" max="6425" width="2.33203125" style="38" customWidth="1"/>
    <col min="6426" max="6430" width="2.109375" style="38" customWidth="1"/>
    <col min="6431" max="6439" width="2.33203125" style="38" customWidth="1"/>
    <col min="6440" max="6444" width="2.109375" style="38" customWidth="1"/>
    <col min="6445" max="6656" width="9.109375" style="38"/>
    <col min="6657" max="6681" width="2.33203125" style="38" customWidth="1"/>
    <col min="6682" max="6686" width="2.109375" style="38" customWidth="1"/>
    <col min="6687" max="6695" width="2.33203125" style="38" customWidth="1"/>
    <col min="6696" max="6700" width="2.109375" style="38" customWidth="1"/>
    <col min="6701" max="6912" width="9.109375" style="38"/>
    <col min="6913" max="6937" width="2.33203125" style="38" customWidth="1"/>
    <col min="6938" max="6942" width="2.109375" style="38" customWidth="1"/>
    <col min="6943" max="6951" width="2.33203125" style="38" customWidth="1"/>
    <col min="6952" max="6956" width="2.109375" style="38" customWidth="1"/>
    <col min="6957" max="7168" width="9.109375" style="38"/>
    <col min="7169" max="7193" width="2.33203125" style="38" customWidth="1"/>
    <col min="7194" max="7198" width="2.109375" style="38" customWidth="1"/>
    <col min="7199" max="7207" width="2.33203125" style="38" customWidth="1"/>
    <col min="7208" max="7212" width="2.109375" style="38" customWidth="1"/>
    <col min="7213" max="7424" width="9.109375" style="38"/>
    <col min="7425" max="7449" width="2.33203125" style="38" customWidth="1"/>
    <col min="7450" max="7454" width="2.109375" style="38" customWidth="1"/>
    <col min="7455" max="7463" width="2.33203125" style="38" customWidth="1"/>
    <col min="7464" max="7468" width="2.109375" style="38" customWidth="1"/>
    <col min="7469" max="7680" width="9.109375" style="38"/>
    <col min="7681" max="7705" width="2.33203125" style="38" customWidth="1"/>
    <col min="7706" max="7710" width="2.109375" style="38" customWidth="1"/>
    <col min="7711" max="7719" width="2.33203125" style="38" customWidth="1"/>
    <col min="7720" max="7724" width="2.109375" style="38" customWidth="1"/>
    <col min="7725" max="7936" width="9.109375" style="38"/>
    <col min="7937" max="7961" width="2.33203125" style="38" customWidth="1"/>
    <col min="7962" max="7966" width="2.109375" style="38" customWidth="1"/>
    <col min="7967" max="7975" width="2.33203125" style="38" customWidth="1"/>
    <col min="7976" max="7980" width="2.109375" style="38" customWidth="1"/>
    <col min="7981" max="8192" width="9.109375" style="38"/>
    <col min="8193" max="8217" width="2.33203125" style="38" customWidth="1"/>
    <col min="8218" max="8222" width="2.109375" style="38" customWidth="1"/>
    <col min="8223" max="8231" width="2.33203125" style="38" customWidth="1"/>
    <col min="8232" max="8236" width="2.109375" style="38" customWidth="1"/>
    <col min="8237" max="8448" width="9.109375" style="38"/>
    <col min="8449" max="8473" width="2.33203125" style="38" customWidth="1"/>
    <col min="8474" max="8478" width="2.109375" style="38" customWidth="1"/>
    <col min="8479" max="8487" width="2.33203125" style="38" customWidth="1"/>
    <col min="8488" max="8492" width="2.109375" style="38" customWidth="1"/>
    <col min="8493" max="8704" width="9.109375" style="38"/>
    <col min="8705" max="8729" width="2.33203125" style="38" customWidth="1"/>
    <col min="8730" max="8734" width="2.109375" style="38" customWidth="1"/>
    <col min="8735" max="8743" width="2.33203125" style="38" customWidth="1"/>
    <col min="8744" max="8748" width="2.109375" style="38" customWidth="1"/>
    <col min="8749" max="8960" width="9.109375" style="38"/>
    <col min="8961" max="8985" width="2.33203125" style="38" customWidth="1"/>
    <col min="8986" max="8990" width="2.109375" style="38" customWidth="1"/>
    <col min="8991" max="8999" width="2.33203125" style="38" customWidth="1"/>
    <col min="9000" max="9004" width="2.109375" style="38" customWidth="1"/>
    <col min="9005" max="9216" width="9.109375" style="38"/>
    <col min="9217" max="9241" width="2.33203125" style="38" customWidth="1"/>
    <col min="9242" max="9246" width="2.109375" style="38" customWidth="1"/>
    <col min="9247" max="9255" width="2.33203125" style="38" customWidth="1"/>
    <col min="9256" max="9260" width="2.109375" style="38" customWidth="1"/>
    <col min="9261" max="9472" width="9.109375" style="38"/>
    <col min="9473" max="9497" width="2.33203125" style="38" customWidth="1"/>
    <col min="9498" max="9502" width="2.109375" style="38" customWidth="1"/>
    <col min="9503" max="9511" width="2.33203125" style="38" customWidth="1"/>
    <col min="9512" max="9516" width="2.109375" style="38" customWidth="1"/>
    <col min="9517" max="9728" width="9.109375" style="38"/>
    <col min="9729" max="9753" width="2.33203125" style="38" customWidth="1"/>
    <col min="9754" max="9758" width="2.109375" style="38" customWidth="1"/>
    <col min="9759" max="9767" width="2.33203125" style="38" customWidth="1"/>
    <col min="9768" max="9772" width="2.109375" style="38" customWidth="1"/>
    <col min="9773" max="9984" width="9.109375" style="38"/>
    <col min="9985" max="10009" width="2.33203125" style="38" customWidth="1"/>
    <col min="10010" max="10014" width="2.109375" style="38" customWidth="1"/>
    <col min="10015" max="10023" width="2.33203125" style="38" customWidth="1"/>
    <col min="10024" max="10028" width="2.109375" style="38" customWidth="1"/>
    <col min="10029" max="10240" width="9.109375" style="38"/>
    <col min="10241" max="10265" width="2.33203125" style="38" customWidth="1"/>
    <col min="10266" max="10270" width="2.109375" style="38" customWidth="1"/>
    <col min="10271" max="10279" width="2.33203125" style="38" customWidth="1"/>
    <col min="10280" max="10284" width="2.109375" style="38" customWidth="1"/>
    <col min="10285" max="10496" width="9.109375" style="38"/>
    <col min="10497" max="10521" width="2.33203125" style="38" customWidth="1"/>
    <col min="10522" max="10526" width="2.109375" style="38" customWidth="1"/>
    <col min="10527" max="10535" width="2.33203125" style="38" customWidth="1"/>
    <col min="10536" max="10540" width="2.109375" style="38" customWidth="1"/>
    <col min="10541" max="10752" width="9.109375" style="38"/>
    <col min="10753" max="10777" width="2.33203125" style="38" customWidth="1"/>
    <col min="10778" max="10782" width="2.109375" style="38" customWidth="1"/>
    <col min="10783" max="10791" width="2.33203125" style="38" customWidth="1"/>
    <col min="10792" max="10796" width="2.109375" style="38" customWidth="1"/>
    <col min="10797" max="11008" width="9.109375" style="38"/>
    <col min="11009" max="11033" width="2.33203125" style="38" customWidth="1"/>
    <col min="11034" max="11038" width="2.109375" style="38" customWidth="1"/>
    <col min="11039" max="11047" width="2.33203125" style="38" customWidth="1"/>
    <col min="11048" max="11052" width="2.109375" style="38" customWidth="1"/>
    <col min="11053" max="11264" width="9.109375" style="38"/>
    <col min="11265" max="11289" width="2.33203125" style="38" customWidth="1"/>
    <col min="11290" max="11294" width="2.109375" style="38" customWidth="1"/>
    <col min="11295" max="11303" width="2.33203125" style="38" customWidth="1"/>
    <col min="11304" max="11308" width="2.109375" style="38" customWidth="1"/>
    <col min="11309" max="11520" width="9.109375" style="38"/>
    <col min="11521" max="11545" width="2.33203125" style="38" customWidth="1"/>
    <col min="11546" max="11550" width="2.109375" style="38" customWidth="1"/>
    <col min="11551" max="11559" width="2.33203125" style="38" customWidth="1"/>
    <col min="11560" max="11564" width="2.109375" style="38" customWidth="1"/>
    <col min="11565" max="11776" width="9.109375" style="38"/>
    <col min="11777" max="11801" width="2.33203125" style="38" customWidth="1"/>
    <col min="11802" max="11806" width="2.109375" style="38" customWidth="1"/>
    <col min="11807" max="11815" width="2.33203125" style="38" customWidth="1"/>
    <col min="11816" max="11820" width="2.109375" style="38" customWidth="1"/>
    <col min="11821" max="12032" width="9.109375" style="38"/>
    <col min="12033" max="12057" width="2.33203125" style="38" customWidth="1"/>
    <col min="12058" max="12062" width="2.109375" style="38" customWidth="1"/>
    <col min="12063" max="12071" width="2.33203125" style="38" customWidth="1"/>
    <col min="12072" max="12076" width="2.109375" style="38" customWidth="1"/>
    <col min="12077" max="12288" width="9.109375" style="38"/>
    <col min="12289" max="12313" width="2.33203125" style="38" customWidth="1"/>
    <col min="12314" max="12318" width="2.109375" style="38" customWidth="1"/>
    <col min="12319" max="12327" width="2.33203125" style="38" customWidth="1"/>
    <col min="12328" max="12332" width="2.109375" style="38" customWidth="1"/>
    <col min="12333" max="12544" width="9.109375" style="38"/>
    <col min="12545" max="12569" width="2.33203125" style="38" customWidth="1"/>
    <col min="12570" max="12574" width="2.109375" style="38" customWidth="1"/>
    <col min="12575" max="12583" width="2.33203125" style="38" customWidth="1"/>
    <col min="12584" max="12588" width="2.109375" style="38" customWidth="1"/>
    <col min="12589" max="12800" width="9.109375" style="38"/>
    <col min="12801" max="12825" width="2.33203125" style="38" customWidth="1"/>
    <col min="12826" max="12830" width="2.109375" style="38" customWidth="1"/>
    <col min="12831" max="12839" width="2.33203125" style="38" customWidth="1"/>
    <col min="12840" max="12844" width="2.109375" style="38" customWidth="1"/>
    <col min="12845" max="13056" width="9.109375" style="38"/>
    <col min="13057" max="13081" width="2.33203125" style="38" customWidth="1"/>
    <col min="13082" max="13086" width="2.109375" style="38" customWidth="1"/>
    <col min="13087" max="13095" width="2.33203125" style="38" customWidth="1"/>
    <col min="13096" max="13100" width="2.109375" style="38" customWidth="1"/>
    <col min="13101" max="13312" width="9.109375" style="38"/>
    <col min="13313" max="13337" width="2.33203125" style="38" customWidth="1"/>
    <col min="13338" max="13342" width="2.109375" style="38" customWidth="1"/>
    <col min="13343" max="13351" width="2.33203125" style="38" customWidth="1"/>
    <col min="13352" max="13356" width="2.109375" style="38" customWidth="1"/>
    <col min="13357" max="13568" width="9.109375" style="38"/>
    <col min="13569" max="13593" width="2.33203125" style="38" customWidth="1"/>
    <col min="13594" max="13598" width="2.109375" style="38" customWidth="1"/>
    <col min="13599" max="13607" width="2.33203125" style="38" customWidth="1"/>
    <col min="13608" max="13612" width="2.109375" style="38" customWidth="1"/>
    <col min="13613" max="13824" width="9.109375" style="38"/>
    <col min="13825" max="13849" width="2.33203125" style="38" customWidth="1"/>
    <col min="13850" max="13854" width="2.109375" style="38" customWidth="1"/>
    <col min="13855" max="13863" width="2.33203125" style="38" customWidth="1"/>
    <col min="13864" max="13868" width="2.109375" style="38" customWidth="1"/>
    <col min="13869" max="14080" width="9.109375" style="38"/>
    <col min="14081" max="14105" width="2.33203125" style="38" customWidth="1"/>
    <col min="14106" max="14110" width="2.109375" style="38" customWidth="1"/>
    <col min="14111" max="14119" width="2.33203125" style="38" customWidth="1"/>
    <col min="14120" max="14124" width="2.109375" style="38" customWidth="1"/>
    <col min="14125" max="14336" width="9.109375" style="38"/>
    <col min="14337" max="14361" width="2.33203125" style="38" customWidth="1"/>
    <col min="14362" max="14366" width="2.109375" style="38" customWidth="1"/>
    <col min="14367" max="14375" width="2.33203125" style="38" customWidth="1"/>
    <col min="14376" max="14380" width="2.109375" style="38" customWidth="1"/>
    <col min="14381" max="14592" width="9.109375" style="38"/>
    <col min="14593" max="14617" width="2.33203125" style="38" customWidth="1"/>
    <col min="14618" max="14622" width="2.109375" style="38" customWidth="1"/>
    <col min="14623" max="14631" width="2.33203125" style="38" customWidth="1"/>
    <col min="14632" max="14636" width="2.109375" style="38" customWidth="1"/>
    <col min="14637" max="14848" width="9.109375" style="38"/>
    <col min="14849" max="14873" width="2.33203125" style="38" customWidth="1"/>
    <col min="14874" max="14878" width="2.109375" style="38" customWidth="1"/>
    <col min="14879" max="14887" width="2.33203125" style="38" customWidth="1"/>
    <col min="14888" max="14892" width="2.109375" style="38" customWidth="1"/>
    <col min="14893" max="15104" width="9.109375" style="38"/>
    <col min="15105" max="15129" width="2.33203125" style="38" customWidth="1"/>
    <col min="15130" max="15134" width="2.109375" style="38" customWidth="1"/>
    <col min="15135" max="15143" width="2.33203125" style="38" customWidth="1"/>
    <col min="15144" max="15148" width="2.109375" style="38" customWidth="1"/>
    <col min="15149" max="15360" width="9.109375" style="38"/>
    <col min="15361" max="15385" width="2.33203125" style="38" customWidth="1"/>
    <col min="15386" max="15390" width="2.109375" style="38" customWidth="1"/>
    <col min="15391" max="15399" width="2.33203125" style="38" customWidth="1"/>
    <col min="15400" max="15404" width="2.109375" style="38" customWidth="1"/>
    <col min="15405" max="15616" width="9.109375" style="38"/>
    <col min="15617" max="15641" width="2.33203125" style="38" customWidth="1"/>
    <col min="15642" max="15646" width="2.109375" style="38" customWidth="1"/>
    <col min="15647" max="15655" width="2.33203125" style="38" customWidth="1"/>
    <col min="15656" max="15660" width="2.109375" style="38" customWidth="1"/>
    <col min="15661" max="15872" width="9.109375" style="38"/>
    <col min="15873" max="15897" width="2.33203125" style="38" customWidth="1"/>
    <col min="15898" max="15902" width="2.109375" style="38" customWidth="1"/>
    <col min="15903" max="15911" width="2.33203125" style="38" customWidth="1"/>
    <col min="15912" max="15916" width="2.109375" style="38" customWidth="1"/>
    <col min="15917" max="16128" width="9.109375" style="38"/>
    <col min="16129" max="16153" width="2.33203125" style="38" customWidth="1"/>
    <col min="16154" max="16158" width="2.109375" style="38" customWidth="1"/>
    <col min="16159" max="16167" width="2.33203125" style="38" customWidth="1"/>
    <col min="16168" max="16172" width="2.109375" style="38" customWidth="1"/>
    <col min="16173" max="16384" width="9.109375" style="38"/>
  </cols>
  <sheetData>
    <row r="1" spans="1:256" ht="20.399999999999999" x14ac:dyDescent="0.3">
      <c r="A1" s="37" t="s">
        <v>40</v>
      </c>
      <c r="AO1" s="41">
        <v>0</v>
      </c>
      <c r="AP1" s="42"/>
      <c r="AQ1" s="42"/>
      <c r="AR1" s="41">
        <v>0</v>
      </c>
      <c r="AV1" s="43">
        <v>1.3888888888888888E-2</v>
      </c>
    </row>
    <row r="2" spans="1:256" x14ac:dyDescent="0.3">
      <c r="A2" s="38" t="s">
        <v>42</v>
      </c>
      <c r="E2" s="38" t="s">
        <v>76</v>
      </c>
      <c r="P2" s="44" t="s">
        <v>22</v>
      </c>
      <c r="Q2" s="45"/>
      <c r="R2" s="45"/>
      <c r="S2" s="45"/>
      <c r="T2" s="45"/>
      <c r="U2" s="45"/>
      <c r="V2" s="45"/>
      <c r="W2" s="45" t="s">
        <v>3</v>
      </c>
      <c r="X2" s="45"/>
      <c r="Y2" s="46" t="s">
        <v>41</v>
      </c>
      <c r="Z2" s="45"/>
      <c r="AA2" s="45"/>
      <c r="AB2" s="45"/>
      <c r="AC2" s="45"/>
      <c r="AD2" s="47"/>
      <c r="AE2" s="48"/>
      <c r="AF2" s="48"/>
      <c r="AG2" s="49"/>
    </row>
    <row r="3" spans="1:256" ht="15" thickBot="1" x14ac:dyDescent="0.35">
      <c r="A3" s="38" t="s">
        <v>19</v>
      </c>
      <c r="D3" s="415">
        <f>Wedstrijden!I2</f>
        <v>45732</v>
      </c>
      <c r="E3" s="416"/>
      <c r="F3" s="416"/>
      <c r="G3" s="416"/>
      <c r="H3" s="416"/>
      <c r="I3" s="416"/>
      <c r="J3" s="416"/>
      <c r="K3" s="416"/>
      <c r="L3" s="416"/>
      <c r="M3" s="416"/>
      <c r="N3" s="417"/>
      <c r="P3" s="50" t="s">
        <v>18</v>
      </c>
      <c r="Q3" s="51" t="s">
        <v>43</v>
      </c>
      <c r="W3" s="38" t="s">
        <v>0</v>
      </c>
      <c r="Y3" s="51" t="s">
        <v>44</v>
      </c>
      <c r="AG3" s="52"/>
    </row>
    <row r="4" spans="1:256" x14ac:dyDescent="0.3">
      <c r="A4" s="38" t="s">
        <v>20</v>
      </c>
      <c r="D4" s="418">
        <v>11</v>
      </c>
      <c r="E4" s="418"/>
      <c r="F4" s="53"/>
      <c r="G4" s="419">
        <f>VLOOKUP(D4,Wedstrijden!A6:B57,2,0)</f>
        <v>0.63194444444444442</v>
      </c>
      <c r="H4" s="419"/>
      <c r="I4" s="419"/>
      <c r="J4" s="54" t="s">
        <v>16</v>
      </c>
      <c r="K4" s="419">
        <f>G4+AV1</f>
        <v>0.64583333333333326</v>
      </c>
      <c r="L4" s="419"/>
      <c r="M4" s="419"/>
      <c r="N4" s="53"/>
      <c r="P4" s="50" t="s">
        <v>17</v>
      </c>
      <c r="Q4" s="51" t="s">
        <v>45</v>
      </c>
      <c r="W4" s="38" t="s">
        <v>9</v>
      </c>
      <c r="Y4" s="51" t="s">
        <v>46</v>
      </c>
      <c r="AG4" s="52"/>
      <c r="BF4" s="406" t="s">
        <v>102</v>
      </c>
      <c r="BG4" s="407"/>
      <c r="BH4" s="407"/>
      <c r="BI4" s="408"/>
    </row>
    <row r="5" spans="1:256" x14ac:dyDescent="0.3">
      <c r="A5" s="38" t="s">
        <v>164</v>
      </c>
      <c r="D5" s="260" t="str">
        <f>VLOOKUP(D4,Wedstrijden!A6:D20,4,0)</f>
        <v>A</v>
      </c>
      <c r="P5" s="50" t="s">
        <v>10</v>
      </c>
      <c r="Q5" s="51" t="s">
        <v>47</v>
      </c>
      <c r="W5" s="38" t="s">
        <v>12</v>
      </c>
      <c r="Y5" s="51" t="s">
        <v>48</v>
      </c>
      <c r="AG5" s="52"/>
      <c r="BF5" s="409"/>
      <c r="BG5" s="410"/>
      <c r="BH5" s="410"/>
      <c r="BI5" s="411"/>
    </row>
    <row r="6" spans="1:256" ht="14.4" thickBot="1" x14ac:dyDescent="0.2">
      <c r="A6" s="38" t="s">
        <v>21</v>
      </c>
      <c r="D6" s="55" t="str">
        <f>Wedstrijden!K2</f>
        <v>Den Bosch</v>
      </c>
      <c r="P6" s="50" t="s">
        <v>11</v>
      </c>
      <c r="Q6" s="51" t="s">
        <v>49</v>
      </c>
      <c r="W6" s="38" t="s">
        <v>13</v>
      </c>
      <c r="Y6" s="51" t="s">
        <v>50</v>
      </c>
      <c r="AG6" s="52"/>
      <c r="AH6" s="354" t="s">
        <v>51</v>
      </c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BF6" s="412"/>
      <c r="BG6" s="413"/>
      <c r="BH6" s="413"/>
      <c r="BI6" s="414"/>
    </row>
    <row r="7" spans="1:256" x14ac:dyDescent="0.2">
      <c r="A7" s="56" t="s">
        <v>52</v>
      </c>
      <c r="B7" s="57"/>
      <c r="C7" s="57"/>
      <c r="D7" s="57"/>
      <c r="E7" s="58" t="s">
        <v>53</v>
      </c>
      <c r="F7" s="57"/>
      <c r="G7" s="59" t="str">
        <f>VLOOKUP(D4,Wedstrijden!A6:L57,5,0)</f>
        <v>Gesposs Geel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 t="s">
        <v>54</v>
      </c>
      <c r="X7" s="57"/>
      <c r="Y7" s="57"/>
      <c r="Z7" s="58" t="s">
        <v>55</v>
      </c>
      <c r="AA7" s="58"/>
      <c r="AB7" s="57"/>
      <c r="AC7" s="59" t="str">
        <f>VLOOKUP(D4,Wedstrijden!A6:L57,9,0)</f>
        <v>VZ&amp;PC Nautilus 1</v>
      </c>
      <c r="AD7" s="60"/>
      <c r="AE7" s="61"/>
      <c r="AF7" s="61"/>
      <c r="AG7" s="61"/>
      <c r="AH7" s="61"/>
      <c r="AI7" s="61"/>
      <c r="AJ7" s="57"/>
      <c r="AK7" s="57"/>
      <c r="AL7" s="57"/>
      <c r="AM7" s="57"/>
      <c r="AN7" s="57"/>
      <c r="AO7" s="61"/>
      <c r="AP7" s="57"/>
      <c r="AQ7" s="57"/>
      <c r="AR7" s="62"/>
    </row>
    <row r="8" spans="1:256" x14ac:dyDescent="0.3">
      <c r="A8" s="63" t="s">
        <v>56</v>
      </c>
      <c r="B8" s="64"/>
      <c r="C8" s="64"/>
      <c r="D8" s="64"/>
      <c r="E8" s="64"/>
      <c r="F8" s="64"/>
      <c r="G8" s="64"/>
      <c r="H8" s="64"/>
      <c r="I8" s="64"/>
      <c r="J8" s="65" t="str">
        <f>VLOOKUP(D4,Wedstrijden!A6:P343,13,0)</f>
        <v>Kiki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 t="s">
        <v>57</v>
      </c>
      <c r="X8" s="64"/>
      <c r="Y8" s="64"/>
      <c r="Z8" s="66" t="str">
        <f>VLOOKUP(D4,Wedstrijden!A6:N170,14,0)</f>
        <v>Martijn</v>
      </c>
      <c r="AA8" s="64"/>
      <c r="AB8" s="64"/>
      <c r="AC8" s="64"/>
      <c r="AD8" s="67"/>
      <c r="AE8" s="68"/>
      <c r="AF8" s="68"/>
      <c r="AG8" s="68"/>
      <c r="AH8" s="68"/>
      <c r="AI8" s="68"/>
      <c r="AJ8" s="69" t="s">
        <v>17</v>
      </c>
      <c r="AK8" s="64"/>
      <c r="AL8" s="64"/>
      <c r="AM8" s="64"/>
      <c r="AN8" s="64"/>
      <c r="AO8" s="68"/>
      <c r="AP8" s="64"/>
      <c r="AQ8" s="64"/>
      <c r="AR8" s="70"/>
    </row>
    <row r="9" spans="1:256" ht="14.4" thickBot="1" x14ac:dyDescent="0.35">
      <c r="A9" s="71" t="s">
        <v>58</v>
      </c>
      <c r="B9" s="72"/>
      <c r="C9" s="72"/>
      <c r="D9" s="72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 t="s">
        <v>59</v>
      </c>
      <c r="X9" s="72"/>
      <c r="Y9" s="72"/>
      <c r="Z9" s="72"/>
      <c r="AA9" s="72"/>
      <c r="AB9" s="73"/>
      <c r="AC9" s="73"/>
      <c r="AD9" s="75"/>
      <c r="AE9" s="76"/>
      <c r="AF9" s="76"/>
      <c r="AG9" s="76"/>
      <c r="AH9" s="76"/>
      <c r="AI9" s="76"/>
      <c r="AJ9" s="73"/>
      <c r="AK9" s="73"/>
      <c r="AL9" s="73"/>
      <c r="AM9" s="73"/>
      <c r="AN9" s="73"/>
      <c r="AO9" s="76"/>
      <c r="AP9" s="73"/>
      <c r="AQ9" s="73"/>
      <c r="AR9" s="77"/>
    </row>
    <row r="10" spans="1:256" ht="15" x14ac:dyDescent="0.3">
      <c r="A10" s="78" t="s">
        <v>60</v>
      </c>
      <c r="B10" s="79"/>
      <c r="C10" s="79"/>
      <c r="D10" s="79"/>
      <c r="E10" s="79"/>
      <c r="F10" s="356" t="str">
        <f>+G7</f>
        <v>Gesposs Geel</v>
      </c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7"/>
      <c r="Z10" s="362" t="s">
        <v>8</v>
      </c>
      <c r="AA10" s="363"/>
      <c r="AB10" s="363"/>
      <c r="AC10" s="363"/>
      <c r="AD10" s="364"/>
      <c r="AE10" s="80"/>
      <c r="AF10" s="80"/>
      <c r="AG10" s="80"/>
      <c r="AH10" s="80" t="s">
        <v>61</v>
      </c>
      <c r="AI10" s="80" t="s">
        <v>61</v>
      </c>
      <c r="AJ10" s="371" t="s">
        <v>14</v>
      </c>
      <c r="AK10" s="372"/>
      <c r="AL10" s="377" t="s">
        <v>62</v>
      </c>
      <c r="AM10" s="378"/>
      <c r="AN10" s="383" t="s">
        <v>15</v>
      </c>
      <c r="AO10" s="384"/>
      <c r="AP10" s="384"/>
      <c r="AQ10" s="384"/>
      <c r="AR10" s="385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2" t="s">
        <v>136</v>
      </c>
      <c r="BL10" s="82" t="str">
        <f>CONCATENATE($BL$12&amp;BK10&amp;"x")</f>
        <v>swwx</v>
      </c>
      <c r="BM10" s="82" t="str">
        <f>CONCATENATE($BM$12&amp;BK10&amp;"x")</f>
        <v>dwx</v>
      </c>
      <c r="BN10" s="82" t="str">
        <f>CONCATENATE($BN$12&amp;BK10&amp;"x")</f>
        <v>pwx</v>
      </c>
      <c r="BO10" s="82" t="str">
        <f>CONCATENATE($BO$12&amp;BK10&amp;"x")</f>
        <v>umvwx</v>
      </c>
      <c r="BP10" s="82" t="str">
        <f>CONCATENATE($BP$12&amp;BK10&amp;"x")</f>
        <v>uzvwx</v>
      </c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1" spans="1:256" x14ac:dyDescent="0.3">
      <c r="A11" s="393" t="s">
        <v>7</v>
      </c>
      <c r="B11" s="394"/>
      <c r="C11" s="394"/>
      <c r="D11" s="394"/>
      <c r="E11" s="81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  <c r="Z11" s="365"/>
      <c r="AA11" s="366"/>
      <c r="AB11" s="366"/>
      <c r="AC11" s="366"/>
      <c r="AD11" s="367"/>
      <c r="AE11" s="83" t="s">
        <v>63</v>
      </c>
      <c r="AF11" s="83"/>
      <c r="AG11" s="83"/>
      <c r="AH11" s="83" t="s">
        <v>64</v>
      </c>
      <c r="AI11" s="83" t="s">
        <v>65</v>
      </c>
      <c r="AJ11" s="373"/>
      <c r="AK11" s="374"/>
      <c r="AL11" s="379"/>
      <c r="AM11" s="380"/>
      <c r="AN11" s="386"/>
      <c r="AO11" s="387"/>
      <c r="AP11" s="387"/>
      <c r="AQ11" s="387"/>
      <c r="AR11" s="388"/>
      <c r="AS11" s="81"/>
      <c r="AT11" s="81"/>
      <c r="AU11" s="81" t="s">
        <v>17</v>
      </c>
      <c r="AV11" s="81" t="s">
        <v>18</v>
      </c>
      <c r="AW11" s="81" t="s">
        <v>77</v>
      </c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2" t="s">
        <v>142</v>
      </c>
      <c r="BL11" s="82" t="str">
        <f>CONCATENATE($BL$12&amp;BK11&amp;"x")</f>
        <v>swbx</v>
      </c>
      <c r="BM11" s="82" t="str">
        <f>CONCATENATE($BM$12&amp;BK11&amp;"x")</f>
        <v>dbx</v>
      </c>
      <c r="BN11" s="82" t="str">
        <f>CONCATENATE($BN$12&amp;BK11&amp;"x")</f>
        <v>pbx</v>
      </c>
      <c r="BO11" s="82" t="str">
        <f>CONCATENATE($BO$12&amp;BK11&amp;"x")</f>
        <v>umvbx</v>
      </c>
      <c r="BP11" s="82" t="str">
        <f>CONCATENATE($BP$12&amp;BK11&amp;"x")</f>
        <v>uzvbx</v>
      </c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</row>
    <row r="12" spans="1:256" ht="18" x14ac:dyDescent="0.35">
      <c r="A12" s="395"/>
      <c r="B12" s="396"/>
      <c r="C12" s="396"/>
      <c r="D12" s="394"/>
      <c r="E12" s="81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1"/>
      <c r="Z12" s="368"/>
      <c r="AA12" s="369"/>
      <c r="AB12" s="369"/>
      <c r="AC12" s="369"/>
      <c r="AD12" s="370"/>
      <c r="AE12" s="84" t="s">
        <v>17</v>
      </c>
      <c r="AF12" s="84" t="s">
        <v>10</v>
      </c>
      <c r="AG12" s="84" t="s">
        <v>11</v>
      </c>
      <c r="AH12" s="84" t="s">
        <v>66</v>
      </c>
      <c r="AI12" s="84" t="s">
        <v>66</v>
      </c>
      <c r="AJ12" s="375"/>
      <c r="AK12" s="376"/>
      <c r="AL12" s="381"/>
      <c r="AM12" s="382"/>
      <c r="AN12" s="389" t="s">
        <v>17</v>
      </c>
      <c r="AO12" s="369"/>
      <c r="AP12" s="85"/>
      <c r="AQ12" s="369" t="s">
        <v>18</v>
      </c>
      <c r="AR12" s="390"/>
      <c r="AS12" s="81"/>
      <c r="AT12" s="81"/>
      <c r="AU12" s="81" t="s">
        <v>78</v>
      </c>
      <c r="AV12" s="81" t="s">
        <v>79</v>
      </c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 t="s">
        <v>138</v>
      </c>
      <c r="BM12" s="81" t="s">
        <v>139</v>
      </c>
      <c r="BN12" s="81" t="s">
        <v>79</v>
      </c>
      <c r="BO12" s="81" t="s">
        <v>140</v>
      </c>
      <c r="BP12" s="81" t="s">
        <v>141</v>
      </c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</row>
    <row r="13" spans="1:256" ht="15.6" x14ac:dyDescent="0.3">
      <c r="A13" s="86" t="s">
        <v>0</v>
      </c>
      <c r="B13" s="87" t="s">
        <v>1</v>
      </c>
      <c r="C13" s="88"/>
      <c r="D13" s="89"/>
      <c r="E13" s="88" t="s">
        <v>2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90"/>
      <c r="V13" s="91" t="s">
        <v>3</v>
      </c>
      <c r="W13" s="91" t="s">
        <v>4</v>
      </c>
      <c r="X13" s="91" t="s">
        <v>5</v>
      </c>
      <c r="Y13" s="92" t="s">
        <v>6</v>
      </c>
      <c r="Z13" s="93"/>
      <c r="AA13" s="94">
        <v>0</v>
      </c>
      <c r="AB13" s="95" t="s">
        <v>16</v>
      </c>
      <c r="AC13" s="94">
        <v>4</v>
      </c>
      <c r="AD13" s="96">
        <v>8</v>
      </c>
      <c r="AE13" s="97"/>
      <c r="AF13" s="97"/>
      <c r="AG13" s="98" t="s">
        <v>265</v>
      </c>
      <c r="AH13" s="99"/>
      <c r="AI13" s="99"/>
      <c r="AJ13" s="391" t="s">
        <v>18</v>
      </c>
      <c r="AK13" s="392"/>
      <c r="AL13" s="401">
        <v>9</v>
      </c>
      <c r="AM13" s="402"/>
      <c r="AN13" s="100"/>
      <c r="AO13" s="101">
        <f>IF(BQ13="","",IF(BQ13=$BL$10,"2"+AO1,IF(BQ13=$BM$10,"1"+AO1,IF(BQ13=$BN$10,"0"+AO1,IF(BQ13=$BO$10,"0"+AO1,IF(BQ13=$BP$10,"0"+AO1,"0"+AO1))))))</f>
        <v>0</v>
      </c>
      <c r="AP13" s="95" t="s">
        <v>16</v>
      </c>
      <c r="AQ13" s="102"/>
      <c r="AR13" s="103">
        <f>IF(BQ13="","",IF(BQ13=$BL$11,"2"+AR1,IF(BQ13=$BM$11,"1"+AR1,IF(BQ13=$BN$11,"0"+AR1,IF(BQ13=$BO$11,"0"+AR1,IF(BQ13=$BP$11,"0"+AR1,"0"+AR1))))))</f>
        <v>1</v>
      </c>
      <c r="AY13" s="38" t="str">
        <f>CONCATENATE(AJ13&amp;AL13)</f>
        <v>B9</v>
      </c>
      <c r="AZ13" s="38" t="str">
        <f>IF(AE13=$AW$11,"2","0")</f>
        <v>0</v>
      </c>
      <c r="BA13" s="38" t="str">
        <f>IF(AG13=$AW$11,"1","0")</f>
        <v>1</v>
      </c>
      <c r="BB13" s="38" t="str">
        <f>IF(AF13=$AW$11,"1","0")</f>
        <v>0</v>
      </c>
      <c r="BC13" s="38">
        <f>AZ13+BA13</f>
        <v>1</v>
      </c>
      <c r="BD13" s="38">
        <f>BB13+0</f>
        <v>0</v>
      </c>
      <c r="BL13" s="38" t="str">
        <f>IF(AE13="","",CONCATENATE($BL$12&amp;AJ13&amp;AE13))</f>
        <v/>
      </c>
      <c r="BM13" s="38" t="str">
        <f>IF(AG13="","",CONCATENATE($BM$12&amp;AJ13&amp;AG13))</f>
        <v>dBX</v>
      </c>
      <c r="BN13" s="38" t="str">
        <f>IF(AF13="","",CONCATENATE($BN$12&amp;AJ13,AF13))</f>
        <v/>
      </c>
      <c r="BO13" s="38" t="str">
        <f>IF(AH13="","",CONCATENATE($BO$12&amp;AJ13&amp;AH13))</f>
        <v/>
      </c>
      <c r="BP13" s="38" t="str">
        <f>IF(AI13="","",CONCATENATE($BP$12&amp;AJ13&amp;AI13))</f>
        <v/>
      </c>
      <c r="BQ13" s="38" t="str">
        <f>CONCATENATE(BL13&amp;BM13&amp;BN13&amp;BO13&amp;BP13)</f>
        <v>dBX</v>
      </c>
    </row>
    <row r="14" spans="1:256" ht="15.6" x14ac:dyDescent="0.3">
      <c r="A14" s="104" t="s">
        <v>265</v>
      </c>
      <c r="B14" s="397">
        <f>IF(ISBLANK(HLOOKUP($F$10,spelerslijsten!$B$1:$J$22,4,FALSE)),"",HLOOKUP($F$10,spelerslijsten!$B$1:$J$22,4,FALSE))</f>
        <v>2</v>
      </c>
      <c r="C14" s="398"/>
      <c r="D14" s="105"/>
      <c r="E14" s="106" t="str">
        <f>IF(ISBLANK(HLOOKUP($F$10,spelerslijsten!$B$1:$J$22,3,FALSE)),"",HLOOKUP($F$10,spelerslijsten!$B$1:$J$22,3,FALSE))</f>
        <v>Jasper van Houtum</v>
      </c>
      <c r="F14" s="107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8">
        <f t="shared" ref="V14:V20" si="0">SUMIF($AY$13:$AY$46,AT14,$BC$13:$BC$46)</f>
        <v>0</v>
      </c>
      <c r="W14" s="109" t="str">
        <f>IF(AU14&gt;0,"x","")</f>
        <v/>
      </c>
      <c r="X14" s="110" t="str">
        <f>IF(AU14&gt;1,"x","")</f>
        <v/>
      </c>
      <c r="Y14" s="103" t="str">
        <f>IF(AU14&gt;2,"x","")</f>
        <v/>
      </c>
      <c r="Z14" s="111"/>
      <c r="AA14" s="112">
        <v>5</v>
      </c>
      <c r="AB14" s="113" t="str">
        <f>+AB13</f>
        <v>-</v>
      </c>
      <c r="AC14" s="112">
        <v>1</v>
      </c>
      <c r="AD14" s="114">
        <v>0</v>
      </c>
      <c r="AE14" s="115"/>
      <c r="AF14" s="115"/>
      <c r="AG14" s="116" t="s">
        <v>265</v>
      </c>
      <c r="AH14" s="117"/>
      <c r="AI14" s="117"/>
      <c r="AJ14" s="342" t="s">
        <v>18</v>
      </c>
      <c r="AK14" s="343"/>
      <c r="AL14" s="346">
        <v>9</v>
      </c>
      <c r="AM14" s="347"/>
      <c r="AN14" s="118"/>
      <c r="AO14" s="101">
        <f>IF(BQ14="","",IF(BQ14=$BL$10,"2"+AO13,IF(BQ14=$BM$10,"1"+AO13,IF(BQ14=$BN$10,"0"+AO13,IF(BQ14=$BO$10,"0"+AO13,IF(BQ14=$BP$10,"0"+AO13,"0"+AO13))))))</f>
        <v>0</v>
      </c>
      <c r="AP14" s="113" t="str">
        <f>+AP13</f>
        <v>-</v>
      </c>
      <c r="AQ14" s="119"/>
      <c r="AR14" s="103">
        <f>IF(BQ14="","",IF(BQ14=$BL$11,"2"+AR13,IF(BQ14=$BM$11,"1"+AR13,IF(BQ14=$BN$11,"0"+AR13,IF(BQ14=$BO$11,"0"+AR13,IF(BQ14=$BP$11,"0"+AR13,"0"+AR13))))))</f>
        <v>2</v>
      </c>
      <c r="AT14" s="38" t="str">
        <f>CONCATENATE($AU$11&amp;B14)</f>
        <v>W2</v>
      </c>
      <c r="AU14" s="38">
        <f>SUMIF($AY$13:$AY$46,AT14,$BD$13:$BD$46)</f>
        <v>0</v>
      </c>
      <c r="AY14" s="38" t="str">
        <f t="shared" ref="AY14:AY46" si="1">CONCATENATE(AJ14&amp;AL14)</f>
        <v>B9</v>
      </c>
      <c r="AZ14" s="38" t="str">
        <f t="shared" ref="AZ14:AZ46" si="2">IF(AE14=$AW$11,"2","0")</f>
        <v>0</v>
      </c>
      <c r="BA14" s="38" t="str">
        <f t="shared" ref="BA14:BA46" si="3">IF(AG14=$AW$11,"1","0")</f>
        <v>1</v>
      </c>
      <c r="BB14" s="38" t="str">
        <f t="shared" ref="BB14:BB46" si="4">IF(AF14=$AW$11,"1","0")</f>
        <v>0</v>
      </c>
      <c r="BC14" s="38">
        <f t="shared" ref="BC14:BC46" si="5">AZ14+BA14</f>
        <v>1</v>
      </c>
      <c r="BD14" s="38">
        <f t="shared" ref="BD14:BD46" si="6">BB14+0</f>
        <v>0</v>
      </c>
      <c r="BL14" s="38" t="str">
        <f t="shared" ref="BL14:BL46" si="7">IF(AE14="","",CONCATENATE($BL$12&amp;AJ14&amp;AE14))</f>
        <v/>
      </c>
      <c r="BM14" s="38" t="str">
        <f t="shared" ref="BM14:BM46" si="8">IF(AG14="","",CONCATENATE($BM$12&amp;AJ14&amp;AG14))</f>
        <v>dBX</v>
      </c>
      <c r="BN14" s="38" t="str">
        <f t="shared" ref="BN14:BN46" si="9">IF(AF14="","",CONCATENATE($BN$12&amp;AJ14,AF14))</f>
        <v/>
      </c>
      <c r="BO14" s="38" t="str">
        <f t="shared" ref="BO14:BO46" si="10">IF(AH14="","",CONCATENATE($BO$12&amp;AJ14&amp;AH14))</f>
        <v/>
      </c>
      <c r="BP14" s="38" t="str">
        <f t="shared" ref="BP14:BP46" si="11">IF(AI14="","",CONCATENATE($BP$12&amp;AJ14&amp;AI14))</f>
        <v/>
      </c>
      <c r="BQ14" s="38" t="str">
        <f t="shared" ref="BQ14:BQ46" si="12">CONCATENATE(BL14&amp;BM14&amp;BN14&amp;BO14&amp;BP14)</f>
        <v>dBX</v>
      </c>
    </row>
    <row r="15" spans="1:256" ht="15.6" x14ac:dyDescent="0.3">
      <c r="A15" s="120" t="s">
        <v>265</v>
      </c>
      <c r="B15" s="397">
        <f>IF(ISBLANK(HLOOKUP($F$10,spelerslijsten!$B$1:$J$22,6,FALSE)),"",HLOOKUP($F$10,spelerslijsten!$B$1:$J$22,6,FALSE))</f>
        <v>3</v>
      </c>
      <c r="C15" s="398"/>
      <c r="D15" s="121"/>
      <c r="E15" s="122" t="str">
        <f>IF(ISBLANK(HLOOKUP($F$10,spelerslijsten!$B$1:$J$22,5,FALSE)),"",HLOOKUP($F$10,spelerslijsten!$B$1:$J$22,5,FALSE))</f>
        <v>Arjan Dulos</v>
      </c>
      <c r="F15" s="123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08">
        <f t="shared" si="0"/>
        <v>0</v>
      </c>
      <c r="W15" s="109" t="str">
        <f t="shared" ref="W15:W23" si="13">IF(AU15&gt;0,"x","")</f>
        <v/>
      </c>
      <c r="X15" s="110" t="str">
        <f t="shared" ref="X15:X23" si="14">IF(AU15&gt;1,"x","")</f>
        <v/>
      </c>
      <c r="Y15" s="103" t="str">
        <f t="shared" ref="Y15:Y23" si="15">IF(AU15&gt;2,"x","")</f>
        <v/>
      </c>
      <c r="Z15" s="111"/>
      <c r="AA15" s="112">
        <v>9</v>
      </c>
      <c r="AB15" s="113" t="str">
        <f t="shared" ref="AB15:AB44" si="16">+AB14</f>
        <v>-</v>
      </c>
      <c r="AC15" s="112">
        <v>1</v>
      </c>
      <c r="AD15" s="114">
        <v>6</v>
      </c>
      <c r="AE15" s="115"/>
      <c r="AF15" s="115"/>
      <c r="AG15" s="116" t="s">
        <v>265</v>
      </c>
      <c r="AH15" s="117"/>
      <c r="AI15" s="117"/>
      <c r="AJ15" s="342" t="s">
        <v>18</v>
      </c>
      <c r="AK15" s="343"/>
      <c r="AL15" s="346">
        <v>6</v>
      </c>
      <c r="AM15" s="347"/>
      <c r="AN15" s="118"/>
      <c r="AO15" s="101">
        <f>IF(BQ15="","",IF(BQ15=$BL$10,"2"+AO14,IF(BQ15=$BM$10,"1"+AO14,IF(BQ15=$BN$10,"0"+AO14,IF(BQ15=$BO$10,"0"+AO14,IF(BQ15=$BP$10,"0"+AO14,"0"+AO14))))))</f>
        <v>0</v>
      </c>
      <c r="AP15" s="113" t="str">
        <f>+AP14</f>
        <v>-</v>
      </c>
      <c r="AQ15" s="119"/>
      <c r="AR15" s="103">
        <f>IF(BQ15="","",IF(BQ15=$BL$11,"2"+AR14,IF(BQ15=$BM$11,"1"+AR14,IF(BQ15=$BN$11,"0"+AR14,IF(BQ15=$BO$11,"0"+AR14,IF(BQ15=$BP$11,"0"+AR14,"0"+AR14))))))</f>
        <v>3</v>
      </c>
      <c r="AT15" s="38" t="str">
        <f t="shared" ref="AT15:AT23" si="17">CONCATENATE($AU$11&amp;B15)</f>
        <v>W3</v>
      </c>
      <c r="AU15" s="38">
        <f t="shared" ref="AU15:AU39" si="18">SUMIF($AY$13:$AY$46,AT15,$BD$13:$BD$46)</f>
        <v>0</v>
      </c>
      <c r="AY15" s="38" t="str">
        <f t="shared" si="1"/>
        <v>B6</v>
      </c>
      <c r="AZ15" s="38" t="str">
        <f t="shared" si="2"/>
        <v>0</v>
      </c>
      <c r="BA15" s="38" t="str">
        <f t="shared" si="3"/>
        <v>1</v>
      </c>
      <c r="BB15" s="38" t="str">
        <f t="shared" si="4"/>
        <v>0</v>
      </c>
      <c r="BC15" s="38">
        <f t="shared" si="5"/>
        <v>1</v>
      </c>
      <c r="BD15" s="38">
        <f t="shared" si="6"/>
        <v>0</v>
      </c>
      <c r="BL15" s="38" t="str">
        <f t="shared" si="7"/>
        <v/>
      </c>
      <c r="BM15" s="38" t="str">
        <f t="shared" si="8"/>
        <v>dBX</v>
      </c>
      <c r="BN15" s="38" t="str">
        <f t="shared" si="9"/>
        <v/>
      </c>
      <c r="BO15" s="38" t="str">
        <f t="shared" si="10"/>
        <v/>
      </c>
      <c r="BP15" s="38" t="str">
        <f t="shared" si="11"/>
        <v/>
      </c>
      <c r="BQ15" s="38" t="str">
        <f t="shared" si="12"/>
        <v>dBX</v>
      </c>
    </row>
    <row r="16" spans="1:256" ht="15.6" x14ac:dyDescent="0.3">
      <c r="A16" s="124"/>
      <c r="B16" s="397">
        <f>IF(ISBLANK(HLOOKUP($F$10,spelerslijsten!$B$1:$J$22,8,FALSE)),"",HLOOKUP($F$10,spelerslijsten!$B$1:$J$22,8,FALSE))</f>
        <v>4</v>
      </c>
      <c r="C16" s="398"/>
      <c r="D16" s="121"/>
      <c r="E16" s="122" t="str">
        <f>IF(ISBLANK(HLOOKUP($F$10,spelerslijsten!$B$1:$J$22,7,FALSE)),"",HLOOKUP($F$10,spelerslijsten!$B$1:$J$22,7,FALSE))</f>
        <v>Kim Wolf</v>
      </c>
      <c r="F16" s="12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08">
        <f t="shared" si="0"/>
        <v>0</v>
      </c>
      <c r="W16" s="109" t="str">
        <f t="shared" si="13"/>
        <v/>
      </c>
      <c r="X16" s="110" t="str">
        <f t="shared" si="14"/>
        <v/>
      </c>
      <c r="Y16" s="103" t="str">
        <f t="shared" si="15"/>
        <v/>
      </c>
      <c r="Z16" s="111">
        <v>1</v>
      </c>
      <c r="AA16" s="112">
        <v>0</v>
      </c>
      <c r="AB16" s="113" t="str">
        <f t="shared" si="16"/>
        <v>-</v>
      </c>
      <c r="AC16" s="112">
        <v>2</v>
      </c>
      <c r="AD16" s="114">
        <v>1</v>
      </c>
      <c r="AE16" s="115"/>
      <c r="AF16" s="115"/>
      <c r="AG16" s="116" t="s">
        <v>265</v>
      </c>
      <c r="AH16" s="117"/>
      <c r="AI16" s="117"/>
      <c r="AJ16" s="342" t="s">
        <v>17</v>
      </c>
      <c r="AK16" s="343"/>
      <c r="AL16" s="346">
        <v>10</v>
      </c>
      <c r="AM16" s="347"/>
      <c r="AN16" s="118"/>
      <c r="AO16" s="101">
        <f t="shared" ref="AO16:AO46" si="19">IF(BQ16="","",IF(BQ16=$BL$10,"2"+AO15,IF(BQ16=$BM$10,"1"+AO15,IF(BQ16=$BN$10,"0"+AO15,IF(BQ16=$BO$10,"0"+AO15,IF(BQ16=$BP$10,"0"+AO15,"0"+AO15))))))</f>
        <v>1</v>
      </c>
      <c r="AP16" s="113" t="str">
        <f t="shared" ref="AP16:AP46" si="20">+AP15</f>
        <v>-</v>
      </c>
      <c r="AQ16" s="119"/>
      <c r="AR16" s="103">
        <f t="shared" ref="AR16:AR46" si="21">IF(BQ16="","",IF(BQ16=$BL$11,"2"+AR15,IF(BQ16=$BM$11,"1"+AR15,IF(BQ16=$BN$11,"0"+AR15,IF(BQ16=$BO$11,"0"+AR15,IF(BQ16=$BP$11,"0"+AR15,"0"+AR15))))))</f>
        <v>3</v>
      </c>
      <c r="AT16" s="38" t="str">
        <f t="shared" si="17"/>
        <v>W4</v>
      </c>
      <c r="AU16" s="38">
        <f t="shared" si="18"/>
        <v>0</v>
      </c>
      <c r="AY16" s="38" t="str">
        <f t="shared" si="1"/>
        <v>W10</v>
      </c>
      <c r="AZ16" s="38" t="str">
        <f t="shared" si="2"/>
        <v>0</v>
      </c>
      <c r="BA16" s="38" t="str">
        <f t="shared" si="3"/>
        <v>1</v>
      </c>
      <c r="BB16" s="38" t="str">
        <f t="shared" si="4"/>
        <v>0</v>
      </c>
      <c r="BC16" s="38">
        <f t="shared" si="5"/>
        <v>1</v>
      </c>
      <c r="BD16" s="38">
        <f t="shared" si="6"/>
        <v>0</v>
      </c>
      <c r="BL16" s="38" t="str">
        <f t="shared" si="7"/>
        <v/>
      </c>
      <c r="BM16" s="38" t="str">
        <f t="shared" si="8"/>
        <v>dWX</v>
      </c>
      <c r="BN16" s="38" t="str">
        <f t="shared" si="9"/>
        <v/>
      </c>
      <c r="BO16" s="38" t="str">
        <f t="shared" si="10"/>
        <v/>
      </c>
      <c r="BP16" s="38" t="str">
        <f t="shared" si="11"/>
        <v/>
      </c>
      <c r="BQ16" s="38" t="str">
        <f t="shared" si="12"/>
        <v>dWX</v>
      </c>
    </row>
    <row r="17" spans="1:69" ht="15.6" x14ac:dyDescent="0.3">
      <c r="A17" s="124" t="s">
        <v>265</v>
      </c>
      <c r="B17" s="397">
        <f>IF(ISBLANK(HLOOKUP($F$10,spelerslijsten!$B$1:$J$22,10,FALSE)),"",HLOOKUP($F$10,spelerslijsten!$B$1:$J$22,10,FALSE))</f>
        <v>5</v>
      </c>
      <c r="C17" s="398"/>
      <c r="D17" s="121"/>
      <c r="E17" s="122" t="str">
        <f>IF(ISBLANK(HLOOKUP($F$10,spelerslijsten!$B$1:$J$22,9,FALSE)),"",HLOOKUP($F$10,spelerslijsten!$B$1:$J$22,9,FALSE))</f>
        <v>Kevin van Boekel</v>
      </c>
      <c r="F17" s="12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08">
        <f t="shared" si="0"/>
        <v>0</v>
      </c>
      <c r="W17" s="109" t="str">
        <f t="shared" si="13"/>
        <v/>
      </c>
      <c r="X17" s="110" t="str">
        <f t="shared" si="14"/>
        <v/>
      </c>
      <c r="Y17" s="103" t="str">
        <f t="shared" si="15"/>
        <v/>
      </c>
      <c r="Z17" s="111">
        <v>1</v>
      </c>
      <c r="AA17" s="112">
        <v>2</v>
      </c>
      <c r="AB17" s="113" t="str">
        <f t="shared" si="16"/>
        <v>-</v>
      </c>
      <c r="AC17" s="112">
        <v>2</v>
      </c>
      <c r="AD17" s="114">
        <v>8</v>
      </c>
      <c r="AE17" s="115"/>
      <c r="AF17" s="115"/>
      <c r="AG17" s="116" t="s">
        <v>265</v>
      </c>
      <c r="AH17" s="117"/>
      <c r="AI17" s="117"/>
      <c r="AJ17" s="342" t="s">
        <v>17</v>
      </c>
      <c r="AK17" s="343"/>
      <c r="AL17" s="346">
        <v>10</v>
      </c>
      <c r="AM17" s="347"/>
      <c r="AN17" s="118"/>
      <c r="AO17" s="101">
        <f t="shared" si="19"/>
        <v>2</v>
      </c>
      <c r="AP17" s="113" t="str">
        <f t="shared" si="20"/>
        <v>-</v>
      </c>
      <c r="AQ17" s="119"/>
      <c r="AR17" s="103">
        <f t="shared" si="21"/>
        <v>3</v>
      </c>
      <c r="AT17" s="38" t="str">
        <f t="shared" si="17"/>
        <v>W5</v>
      </c>
      <c r="AU17" s="38">
        <f t="shared" si="18"/>
        <v>0</v>
      </c>
      <c r="AY17" s="38" t="str">
        <f t="shared" si="1"/>
        <v>W10</v>
      </c>
      <c r="AZ17" s="38" t="str">
        <f t="shared" si="2"/>
        <v>0</v>
      </c>
      <c r="BA17" s="38" t="str">
        <f t="shared" si="3"/>
        <v>1</v>
      </c>
      <c r="BB17" s="38" t="str">
        <f t="shared" si="4"/>
        <v>0</v>
      </c>
      <c r="BC17" s="38">
        <f t="shared" si="5"/>
        <v>1</v>
      </c>
      <c r="BD17" s="38">
        <f t="shared" si="6"/>
        <v>0</v>
      </c>
      <c r="BL17" s="38" t="str">
        <f t="shared" si="7"/>
        <v/>
      </c>
      <c r="BM17" s="38" t="str">
        <f t="shared" si="8"/>
        <v>dWX</v>
      </c>
      <c r="BN17" s="38" t="str">
        <f t="shared" si="9"/>
        <v/>
      </c>
      <c r="BO17" s="38" t="str">
        <f t="shared" si="10"/>
        <v/>
      </c>
      <c r="BP17" s="38" t="str">
        <f t="shared" si="11"/>
        <v/>
      </c>
      <c r="BQ17" s="38" t="str">
        <f t="shared" si="12"/>
        <v>dWX</v>
      </c>
    </row>
    <row r="18" spans="1:69" ht="15.6" x14ac:dyDescent="0.3">
      <c r="A18" s="124" t="s">
        <v>265</v>
      </c>
      <c r="B18" s="397">
        <f>IF(ISBLANK(HLOOKUP($F$10,spelerslijsten!$B$1:$J$22,12,FALSE)),"",HLOOKUP($F$10,spelerslijsten!$B$1:$J$22,12,FALSE))</f>
        <v>6</v>
      </c>
      <c r="C18" s="398"/>
      <c r="D18" s="121"/>
      <c r="E18" s="122" t="str">
        <f>IF(ISBLANK(HLOOKUP($F$10,spelerslijsten!$B$1:$J$22,11,FALSE)),"",HLOOKUP($F$10,spelerslijsten!$B$1:$J$22,11,FALSE))</f>
        <v>Kevin van Kollenburg</v>
      </c>
      <c r="F18" s="12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08">
        <f t="shared" si="0"/>
        <v>0</v>
      </c>
      <c r="W18" s="109" t="str">
        <f t="shared" si="13"/>
        <v/>
      </c>
      <c r="X18" s="110" t="str">
        <f t="shared" si="14"/>
        <v/>
      </c>
      <c r="Y18" s="103" t="str">
        <f t="shared" si="15"/>
        <v/>
      </c>
      <c r="Z18" s="111"/>
      <c r="AA18" s="112"/>
      <c r="AB18" s="113" t="s">
        <v>16</v>
      </c>
      <c r="AC18" s="112"/>
      <c r="AD18" s="114"/>
      <c r="AE18" s="115"/>
      <c r="AF18" s="115"/>
      <c r="AG18" s="116"/>
      <c r="AH18" s="117"/>
      <c r="AI18" s="117"/>
      <c r="AJ18" s="342"/>
      <c r="AK18" s="343"/>
      <c r="AL18" s="346"/>
      <c r="AM18" s="347"/>
      <c r="AN18" s="118"/>
      <c r="AO18" s="101" t="str">
        <f t="shared" si="19"/>
        <v/>
      </c>
      <c r="AP18" s="113" t="str">
        <f t="shared" si="20"/>
        <v>-</v>
      </c>
      <c r="AQ18" s="119"/>
      <c r="AR18" s="103" t="str">
        <f t="shared" si="21"/>
        <v/>
      </c>
      <c r="AT18" s="38" t="str">
        <f t="shared" si="17"/>
        <v>W6</v>
      </c>
      <c r="AU18" s="38">
        <f t="shared" si="18"/>
        <v>0</v>
      </c>
      <c r="AY18" s="38" t="str">
        <f t="shared" si="1"/>
        <v/>
      </c>
      <c r="AZ18" s="38" t="str">
        <f t="shared" si="2"/>
        <v>0</v>
      </c>
      <c r="BA18" s="38" t="str">
        <f t="shared" si="3"/>
        <v>0</v>
      </c>
      <c r="BB18" s="38" t="str">
        <f t="shared" si="4"/>
        <v>0</v>
      </c>
      <c r="BC18" s="38">
        <f t="shared" si="5"/>
        <v>0</v>
      </c>
      <c r="BD18" s="38">
        <f t="shared" si="6"/>
        <v>0</v>
      </c>
      <c r="BL18" s="38" t="str">
        <f t="shared" si="7"/>
        <v/>
      </c>
      <c r="BM18" s="38" t="str">
        <f t="shared" si="8"/>
        <v/>
      </c>
      <c r="BN18" s="38" t="str">
        <f t="shared" si="9"/>
        <v/>
      </c>
      <c r="BO18" s="38" t="str">
        <f t="shared" si="10"/>
        <v/>
      </c>
      <c r="BP18" s="38" t="str">
        <f t="shared" si="11"/>
        <v/>
      </c>
      <c r="BQ18" s="38" t="str">
        <f t="shared" si="12"/>
        <v/>
      </c>
    </row>
    <row r="19" spans="1:69" ht="15.6" x14ac:dyDescent="0.3">
      <c r="A19" s="124" t="s">
        <v>265</v>
      </c>
      <c r="B19" s="397">
        <f>IF(ISBLANK(HLOOKUP($F$10,spelerslijsten!$B$1:$J$22,14,FALSE)),"",HLOOKUP($F$10,spelerslijsten!$B$1:$J$22,14,FALSE))</f>
        <v>7</v>
      </c>
      <c r="C19" s="398"/>
      <c r="D19" s="121"/>
      <c r="E19" s="122" t="str">
        <f>IF(ISBLANK(HLOOKUP($F$10,spelerslijsten!$B$1:$J$22,13,FALSE)),"",HLOOKUP($F$10,spelerslijsten!$B$1:$J$22,13,FALSE))</f>
        <v>Tim van den Akker</v>
      </c>
      <c r="F19" s="12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08">
        <f t="shared" si="0"/>
        <v>0</v>
      </c>
      <c r="W19" s="109" t="str">
        <f t="shared" si="13"/>
        <v/>
      </c>
      <c r="X19" s="110" t="str">
        <f t="shared" si="14"/>
        <v/>
      </c>
      <c r="Y19" s="103" t="str">
        <f t="shared" si="15"/>
        <v/>
      </c>
      <c r="Z19" s="111"/>
      <c r="AA19" s="112"/>
      <c r="AB19" s="113" t="str">
        <f t="shared" si="16"/>
        <v>-</v>
      </c>
      <c r="AC19" s="112"/>
      <c r="AD19" s="114"/>
      <c r="AE19" s="115"/>
      <c r="AF19" s="115"/>
      <c r="AG19" s="116"/>
      <c r="AH19" s="117"/>
      <c r="AI19" s="117"/>
      <c r="AJ19" s="342"/>
      <c r="AK19" s="343"/>
      <c r="AL19" s="346"/>
      <c r="AM19" s="347"/>
      <c r="AN19" s="118"/>
      <c r="AO19" s="101" t="str">
        <f t="shared" si="19"/>
        <v/>
      </c>
      <c r="AP19" s="113" t="str">
        <f t="shared" si="20"/>
        <v>-</v>
      </c>
      <c r="AQ19" s="119"/>
      <c r="AR19" s="103" t="str">
        <f t="shared" si="21"/>
        <v/>
      </c>
      <c r="AT19" s="38" t="str">
        <f t="shared" si="17"/>
        <v>W7</v>
      </c>
      <c r="AU19" s="38">
        <f t="shared" si="18"/>
        <v>0</v>
      </c>
      <c r="AY19" s="38" t="str">
        <f t="shared" si="1"/>
        <v/>
      </c>
      <c r="AZ19" s="38" t="str">
        <f t="shared" si="2"/>
        <v>0</v>
      </c>
      <c r="BA19" s="38" t="str">
        <f t="shared" si="3"/>
        <v>0</v>
      </c>
      <c r="BB19" s="38" t="str">
        <f t="shared" si="4"/>
        <v>0</v>
      </c>
      <c r="BC19" s="38">
        <f t="shared" si="5"/>
        <v>0</v>
      </c>
      <c r="BD19" s="38">
        <f t="shared" si="6"/>
        <v>0</v>
      </c>
      <c r="BL19" s="38" t="str">
        <f t="shared" si="7"/>
        <v/>
      </c>
      <c r="BM19" s="38" t="str">
        <f t="shared" si="8"/>
        <v/>
      </c>
      <c r="BN19" s="38" t="str">
        <f t="shared" si="9"/>
        <v/>
      </c>
      <c r="BO19" s="38" t="str">
        <f t="shared" si="10"/>
        <v/>
      </c>
      <c r="BP19" s="38" t="str">
        <f t="shared" si="11"/>
        <v/>
      </c>
      <c r="BQ19" s="38" t="str">
        <f t="shared" si="12"/>
        <v/>
      </c>
    </row>
    <row r="20" spans="1:69" ht="15.6" x14ac:dyDescent="0.3">
      <c r="A20" s="124"/>
      <c r="B20" s="397">
        <f>IF(ISBLANK(HLOOKUP($F$10,spelerslijsten!$B$1:$J$22,16,FALSE)),"",HLOOKUP($F$10,spelerslijsten!$B$1:$J$22,16,FALSE))</f>
        <v>8</v>
      </c>
      <c r="C20" s="398"/>
      <c r="D20" s="121"/>
      <c r="E20" s="122" t="str">
        <f>IF(ISBLANK(HLOOKUP($F$10,spelerslijsten!$B$1:$J$22,15,FALSE)),"",HLOOKUP($F$10,spelerslijsten!$B$1:$J$22,15,FALSE))</f>
        <v>Marloes Beks-Geurts</v>
      </c>
      <c r="F20" s="12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08">
        <f t="shared" si="0"/>
        <v>0</v>
      </c>
      <c r="W20" s="109" t="str">
        <f t="shared" si="13"/>
        <v/>
      </c>
      <c r="X20" s="110" t="str">
        <f t="shared" si="14"/>
        <v/>
      </c>
      <c r="Y20" s="103" t="str">
        <f t="shared" si="15"/>
        <v/>
      </c>
      <c r="Z20" s="111"/>
      <c r="AA20" s="112"/>
      <c r="AB20" s="113" t="str">
        <f t="shared" si="16"/>
        <v>-</v>
      </c>
      <c r="AC20" s="112"/>
      <c r="AD20" s="114"/>
      <c r="AE20" s="115"/>
      <c r="AF20" s="115"/>
      <c r="AG20" s="116"/>
      <c r="AH20" s="117"/>
      <c r="AI20" s="117"/>
      <c r="AJ20" s="342"/>
      <c r="AK20" s="343"/>
      <c r="AL20" s="346"/>
      <c r="AM20" s="347"/>
      <c r="AN20" s="118"/>
      <c r="AO20" s="101" t="str">
        <f t="shared" si="19"/>
        <v/>
      </c>
      <c r="AP20" s="113" t="str">
        <f t="shared" si="20"/>
        <v>-</v>
      </c>
      <c r="AQ20" s="119"/>
      <c r="AR20" s="103" t="str">
        <f t="shared" si="21"/>
        <v/>
      </c>
      <c r="AT20" s="38" t="str">
        <f t="shared" si="17"/>
        <v>W8</v>
      </c>
      <c r="AU20" s="38">
        <f t="shared" si="18"/>
        <v>0</v>
      </c>
      <c r="AY20" s="38" t="str">
        <f t="shared" si="1"/>
        <v/>
      </c>
      <c r="AZ20" s="38" t="str">
        <f t="shared" si="2"/>
        <v>0</v>
      </c>
      <c r="BA20" s="38" t="str">
        <f t="shared" si="3"/>
        <v>0</v>
      </c>
      <c r="BB20" s="38" t="str">
        <f t="shared" si="4"/>
        <v>0</v>
      </c>
      <c r="BC20" s="38">
        <f t="shared" si="5"/>
        <v>0</v>
      </c>
      <c r="BD20" s="38">
        <f t="shared" si="6"/>
        <v>0</v>
      </c>
      <c r="BL20" s="38" t="str">
        <f t="shared" si="7"/>
        <v/>
      </c>
      <c r="BM20" s="38" t="str">
        <f t="shared" si="8"/>
        <v/>
      </c>
      <c r="BN20" s="38" t="str">
        <f t="shared" si="9"/>
        <v/>
      </c>
      <c r="BO20" s="38" t="str">
        <f t="shared" si="10"/>
        <v/>
      </c>
      <c r="BP20" s="38" t="str">
        <f t="shared" si="11"/>
        <v/>
      </c>
      <c r="BQ20" s="38" t="str">
        <f t="shared" si="12"/>
        <v/>
      </c>
    </row>
    <row r="21" spans="1:69" ht="15.6" x14ac:dyDescent="0.3">
      <c r="A21" s="124"/>
      <c r="B21" s="397">
        <f>IF(ISBLANK(HLOOKUP($F$10,spelerslijsten!$B$1:$J$22,18,FALSE)),"",HLOOKUP($F$10,spelerslijsten!$B$1:$J$22,18,FALSE))</f>
        <v>9</v>
      </c>
      <c r="C21" s="398"/>
      <c r="D21" s="121"/>
      <c r="E21" s="122" t="str">
        <f>IF(ISBLANK(HLOOKUP($F$10,spelerslijsten!$B$1:$J$22,17,FALSE)),"",HLOOKUP($F$10,spelerslijsten!$B$1:$J$22,17,FALSE))</f>
        <v>Lincy Ruijs</v>
      </c>
      <c r="F21" s="12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08">
        <f>SUMIF($AY$13:$AY$46,AT21,$BC$13:$BC$46)</f>
        <v>0</v>
      </c>
      <c r="W21" s="109" t="str">
        <f t="shared" si="13"/>
        <v/>
      </c>
      <c r="X21" s="110" t="str">
        <f t="shared" si="14"/>
        <v/>
      </c>
      <c r="Y21" s="103" t="str">
        <f t="shared" si="15"/>
        <v/>
      </c>
      <c r="Z21" s="111"/>
      <c r="AA21" s="112"/>
      <c r="AB21" s="113" t="str">
        <f t="shared" si="16"/>
        <v>-</v>
      </c>
      <c r="AC21" s="112"/>
      <c r="AD21" s="114"/>
      <c r="AE21" s="115"/>
      <c r="AF21" s="115"/>
      <c r="AG21" s="116"/>
      <c r="AH21" s="117"/>
      <c r="AI21" s="117"/>
      <c r="AJ21" s="342"/>
      <c r="AK21" s="343"/>
      <c r="AL21" s="346"/>
      <c r="AM21" s="347"/>
      <c r="AN21" s="118"/>
      <c r="AO21" s="101" t="str">
        <f t="shared" si="19"/>
        <v/>
      </c>
      <c r="AP21" s="113" t="str">
        <f t="shared" si="20"/>
        <v>-</v>
      </c>
      <c r="AQ21" s="119"/>
      <c r="AR21" s="103" t="str">
        <f t="shared" si="21"/>
        <v/>
      </c>
      <c r="AT21" s="38" t="str">
        <f t="shared" si="17"/>
        <v>W9</v>
      </c>
      <c r="AU21" s="38">
        <f t="shared" si="18"/>
        <v>0</v>
      </c>
      <c r="AY21" s="38" t="str">
        <f t="shared" si="1"/>
        <v/>
      </c>
      <c r="AZ21" s="38" t="str">
        <f t="shared" si="2"/>
        <v>0</v>
      </c>
      <c r="BA21" s="38" t="str">
        <f t="shared" si="3"/>
        <v>0</v>
      </c>
      <c r="BB21" s="38" t="str">
        <f t="shared" si="4"/>
        <v>0</v>
      </c>
      <c r="BC21" s="38">
        <f t="shared" si="5"/>
        <v>0</v>
      </c>
      <c r="BD21" s="38">
        <f t="shared" si="6"/>
        <v>0</v>
      </c>
      <c r="BL21" s="38" t="str">
        <f t="shared" si="7"/>
        <v/>
      </c>
      <c r="BM21" s="38" t="str">
        <f t="shared" si="8"/>
        <v/>
      </c>
      <c r="BN21" s="38" t="str">
        <f t="shared" si="9"/>
        <v/>
      </c>
      <c r="BO21" s="38" t="str">
        <f t="shared" si="10"/>
        <v/>
      </c>
      <c r="BP21" s="38" t="str">
        <f t="shared" si="11"/>
        <v/>
      </c>
      <c r="BQ21" s="38" t="str">
        <f t="shared" si="12"/>
        <v/>
      </c>
    </row>
    <row r="22" spans="1:69" ht="15.6" x14ac:dyDescent="0.3">
      <c r="A22" s="124" t="s">
        <v>265</v>
      </c>
      <c r="B22" s="397">
        <f>IF(ISBLANK(HLOOKUP($F$10,spelerslijsten!$B$1:$J$22,20,FALSE)),"",HLOOKUP($F$10,spelerslijsten!$B$1:$J$22,20,FALSE))</f>
        <v>10</v>
      </c>
      <c r="C22" s="398"/>
      <c r="D22" s="121"/>
      <c r="E22" s="122" t="str">
        <f>IF(ISBLANK(HLOOKUP($F$10,spelerslijsten!$B$1:$J$22,19,FALSE)),"",HLOOKUP($F$10,spelerslijsten!$B$1:$J$22,19,FALSE))</f>
        <v>Eef de Ruijter</v>
      </c>
      <c r="F22" s="12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08">
        <f t="shared" ref="V22:V23" si="22">SUMIF($AY$13:$AY$46,AT22,$BC$13:$BC$46)</f>
        <v>2</v>
      </c>
      <c r="W22" s="109" t="str">
        <f t="shared" si="13"/>
        <v/>
      </c>
      <c r="X22" s="110" t="str">
        <f t="shared" si="14"/>
        <v/>
      </c>
      <c r="Y22" s="103" t="str">
        <f t="shared" si="15"/>
        <v/>
      </c>
      <c r="Z22" s="111"/>
      <c r="AA22" s="112"/>
      <c r="AB22" s="113" t="str">
        <f t="shared" si="16"/>
        <v>-</v>
      </c>
      <c r="AC22" s="112"/>
      <c r="AD22" s="114"/>
      <c r="AE22" s="115"/>
      <c r="AF22" s="115"/>
      <c r="AG22" s="116"/>
      <c r="AH22" s="117"/>
      <c r="AI22" s="117"/>
      <c r="AJ22" s="342"/>
      <c r="AK22" s="343"/>
      <c r="AL22" s="346"/>
      <c r="AM22" s="347"/>
      <c r="AN22" s="118"/>
      <c r="AO22" s="101" t="str">
        <f t="shared" si="19"/>
        <v/>
      </c>
      <c r="AP22" s="113" t="str">
        <f t="shared" si="20"/>
        <v>-</v>
      </c>
      <c r="AQ22" s="119"/>
      <c r="AR22" s="103" t="str">
        <f t="shared" si="21"/>
        <v/>
      </c>
      <c r="AT22" s="38" t="str">
        <f t="shared" si="17"/>
        <v>W10</v>
      </c>
      <c r="AU22" s="38">
        <f t="shared" si="18"/>
        <v>0</v>
      </c>
      <c r="AY22" s="38" t="str">
        <f t="shared" si="1"/>
        <v/>
      </c>
      <c r="AZ22" s="38" t="str">
        <f t="shared" si="2"/>
        <v>0</v>
      </c>
      <c r="BA22" s="38" t="str">
        <f t="shared" si="3"/>
        <v>0</v>
      </c>
      <c r="BB22" s="38" t="str">
        <f t="shared" si="4"/>
        <v>0</v>
      </c>
      <c r="BC22" s="38">
        <f t="shared" si="5"/>
        <v>0</v>
      </c>
      <c r="BD22" s="38">
        <f t="shared" si="6"/>
        <v>0</v>
      </c>
      <c r="BL22" s="38" t="str">
        <f t="shared" si="7"/>
        <v/>
      </c>
      <c r="BM22" s="38" t="str">
        <f t="shared" si="8"/>
        <v/>
      </c>
      <c r="BN22" s="38" t="str">
        <f t="shared" si="9"/>
        <v/>
      </c>
      <c r="BO22" s="38" t="str">
        <f t="shared" si="10"/>
        <v/>
      </c>
      <c r="BP22" s="38" t="str">
        <f t="shared" si="11"/>
        <v/>
      </c>
      <c r="BQ22" s="38" t="str">
        <f t="shared" si="12"/>
        <v/>
      </c>
    </row>
    <row r="23" spans="1:69" ht="15.6" x14ac:dyDescent="0.3">
      <c r="A23" s="125"/>
      <c r="B23" s="397">
        <f>IF(ISBLANK(HLOOKUP($F$10,spelerslijsten!$B$1:$J$22,22,FALSE)),"",HLOOKUP($F$10,spelerslijsten!$B$1:$J$22,22,FALSE))</f>
        <v>11</v>
      </c>
      <c r="C23" s="398"/>
      <c r="D23" s="126"/>
      <c r="E23" s="259" t="str">
        <f>IF(ISBLANK(HLOOKUP($F$10,spelerslijsten!$B$1:$J$22,21,FALSE)),"",HLOOKUP($F$10,spelerslijsten!$B$1:$J$22,21,FALSE))</f>
        <v>Finn van der Krift</v>
      </c>
      <c r="F23" s="126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08">
        <f t="shared" si="22"/>
        <v>0</v>
      </c>
      <c r="W23" s="109" t="str">
        <f t="shared" si="13"/>
        <v/>
      </c>
      <c r="X23" s="110" t="str">
        <f t="shared" si="14"/>
        <v/>
      </c>
      <c r="Y23" s="103" t="str">
        <f t="shared" si="15"/>
        <v/>
      </c>
      <c r="Z23" s="111"/>
      <c r="AA23" s="112"/>
      <c r="AB23" s="113" t="str">
        <f t="shared" si="16"/>
        <v>-</v>
      </c>
      <c r="AC23" s="112"/>
      <c r="AD23" s="114"/>
      <c r="AE23" s="115"/>
      <c r="AF23" s="115"/>
      <c r="AG23" s="116"/>
      <c r="AH23" s="117"/>
      <c r="AI23" s="117"/>
      <c r="AJ23" s="342"/>
      <c r="AK23" s="343"/>
      <c r="AL23" s="346"/>
      <c r="AM23" s="347"/>
      <c r="AN23" s="118"/>
      <c r="AO23" s="101" t="str">
        <f t="shared" si="19"/>
        <v/>
      </c>
      <c r="AP23" s="113" t="str">
        <f t="shared" si="20"/>
        <v>-</v>
      </c>
      <c r="AQ23" s="119"/>
      <c r="AR23" s="103" t="str">
        <f t="shared" si="21"/>
        <v/>
      </c>
      <c r="AT23" s="38" t="str">
        <f t="shared" si="17"/>
        <v>W11</v>
      </c>
      <c r="AU23" s="38">
        <f t="shared" si="18"/>
        <v>0</v>
      </c>
      <c r="AY23" s="38" t="str">
        <f t="shared" si="1"/>
        <v/>
      </c>
      <c r="AZ23" s="38" t="str">
        <f t="shared" si="2"/>
        <v>0</v>
      </c>
      <c r="BA23" s="38" t="str">
        <f t="shared" si="3"/>
        <v>0</v>
      </c>
      <c r="BB23" s="38" t="str">
        <f t="shared" si="4"/>
        <v>0</v>
      </c>
      <c r="BC23" s="38">
        <f t="shared" si="5"/>
        <v>0</v>
      </c>
      <c r="BD23" s="38">
        <f t="shared" si="6"/>
        <v>0</v>
      </c>
      <c r="BL23" s="38" t="str">
        <f t="shared" si="7"/>
        <v/>
      </c>
      <c r="BM23" s="38" t="str">
        <f t="shared" si="8"/>
        <v/>
      </c>
      <c r="BN23" s="38" t="str">
        <f t="shared" si="9"/>
        <v/>
      </c>
      <c r="BO23" s="38" t="str">
        <f t="shared" si="10"/>
        <v/>
      </c>
      <c r="BP23" s="38" t="str">
        <f t="shared" si="11"/>
        <v/>
      </c>
      <c r="BQ23" s="38" t="str">
        <f t="shared" si="12"/>
        <v/>
      </c>
    </row>
    <row r="24" spans="1:69" ht="16.2" thickBot="1" x14ac:dyDescent="0.35">
      <c r="A24" s="71" t="s">
        <v>67</v>
      </c>
      <c r="B24" s="72"/>
      <c r="C24" s="72"/>
      <c r="D24" s="72"/>
      <c r="E24" s="72"/>
      <c r="F24" s="72"/>
      <c r="G24" s="72"/>
      <c r="I24" s="399">
        <f>HLOOKUP(F10,spelerslijsten!B1:J25,25,FALSE)</f>
        <v>2</v>
      </c>
      <c r="J24" s="400"/>
      <c r="K24" s="74" t="s">
        <v>23</v>
      </c>
      <c r="L24" s="72"/>
      <c r="M24" s="72"/>
      <c r="N24" s="129" t="str">
        <f>HLOOKUP(F10,spelerslijsten!B1:J25,23,FALSE)</f>
        <v>Kevin van Boekel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30"/>
      <c r="Z24" s="131"/>
      <c r="AA24" s="132"/>
      <c r="AB24" s="133" t="str">
        <f t="shared" si="16"/>
        <v>-</v>
      </c>
      <c r="AC24" s="132"/>
      <c r="AD24" s="134"/>
      <c r="AE24" s="135"/>
      <c r="AF24" s="135"/>
      <c r="AG24" s="136"/>
      <c r="AH24" s="137"/>
      <c r="AI24" s="137"/>
      <c r="AJ24" s="342"/>
      <c r="AK24" s="343"/>
      <c r="AL24" s="350"/>
      <c r="AM24" s="351"/>
      <c r="AN24" s="138"/>
      <c r="AO24" s="101" t="str">
        <f t="shared" si="19"/>
        <v/>
      </c>
      <c r="AP24" s="113" t="str">
        <f t="shared" si="20"/>
        <v>-</v>
      </c>
      <c r="AQ24" s="119"/>
      <c r="AR24" s="103" t="str">
        <f t="shared" si="21"/>
        <v/>
      </c>
      <c r="AY24" s="38" t="str">
        <f t="shared" si="1"/>
        <v/>
      </c>
      <c r="AZ24" s="38" t="str">
        <f t="shared" si="2"/>
        <v>0</v>
      </c>
      <c r="BA24" s="38" t="str">
        <f t="shared" si="3"/>
        <v>0</v>
      </c>
      <c r="BB24" s="38" t="str">
        <f t="shared" si="4"/>
        <v>0</v>
      </c>
      <c r="BC24" s="38">
        <f t="shared" si="5"/>
        <v>0</v>
      </c>
      <c r="BD24" s="38">
        <f t="shared" si="6"/>
        <v>0</v>
      </c>
      <c r="BL24" s="38" t="str">
        <f t="shared" si="7"/>
        <v/>
      </c>
      <c r="BM24" s="38" t="str">
        <f t="shared" si="8"/>
        <v/>
      </c>
      <c r="BN24" s="38" t="str">
        <f t="shared" si="9"/>
        <v/>
      </c>
      <c r="BO24" s="38" t="str">
        <f t="shared" si="10"/>
        <v/>
      </c>
      <c r="BP24" s="38" t="str">
        <f t="shared" si="11"/>
        <v/>
      </c>
      <c r="BQ24" s="38" t="str">
        <f t="shared" si="12"/>
        <v/>
      </c>
    </row>
    <row r="25" spans="1:69" ht="15" customHeight="1" x14ac:dyDescent="0.3">
      <c r="A25" s="78" t="s">
        <v>60</v>
      </c>
      <c r="B25" s="79"/>
      <c r="C25" s="79"/>
      <c r="D25" s="79"/>
      <c r="E25" s="79"/>
      <c r="F25" s="356" t="str">
        <f>+AC7</f>
        <v>VZ&amp;PC Nautilus 1</v>
      </c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7"/>
      <c r="Z25" s="139"/>
      <c r="AA25" s="140"/>
      <c r="AB25" s="141" t="str">
        <f t="shared" si="16"/>
        <v>-</v>
      </c>
      <c r="AC25" s="140"/>
      <c r="AD25" s="142"/>
      <c r="AE25" s="143"/>
      <c r="AF25" s="143"/>
      <c r="AG25" s="144"/>
      <c r="AH25" s="145"/>
      <c r="AI25" s="145"/>
      <c r="AJ25" s="342"/>
      <c r="AK25" s="343"/>
      <c r="AL25" s="346"/>
      <c r="AM25" s="347"/>
      <c r="AN25" s="146"/>
      <c r="AO25" s="101" t="str">
        <f t="shared" si="19"/>
        <v/>
      </c>
      <c r="AP25" s="113" t="str">
        <f t="shared" si="20"/>
        <v>-</v>
      </c>
      <c r="AQ25" s="119"/>
      <c r="AR25" s="103" t="str">
        <f t="shared" si="21"/>
        <v/>
      </c>
      <c r="AY25" s="38" t="str">
        <f t="shared" si="1"/>
        <v/>
      </c>
      <c r="AZ25" s="38" t="str">
        <f t="shared" si="2"/>
        <v>0</v>
      </c>
      <c r="BA25" s="38" t="str">
        <f t="shared" si="3"/>
        <v>0</v>
      </c>
      <c r="BB25" s="38" t="str">
        <f t="shared" si="4"/>
        <v>0</v>
      </c>
      <c r="BC25" s="38">
        <f t="shared" si="5"/>
        <v>0</v>
      </c>
      <c r="BD25" s="38">
        <f t="shared" si="6"/>
        <v>0</v>
      </c>
      <c r="BL25" s="38" t="str">
        <f t="shared" si="7"/>
        <v/>
      </c>
      <c r="BM25" s="38" t="str">
        <f t="shared" si="8"/>
        <v/>
      </c>
      <c r="BN25" s="38" t="str">
        <f t="shared" si="9"/>
        <v/>
      </c>
      <c r="BO25" s="38" t="str">
        <f t="shared" si="10"/>
        <v/>
      </c>
      <c r="BP25" s="38" t="str">
        <f t="shared" si="11"/>
        <v/>
      </c>
      <c r="BQ25" s="38" t="str">
        <f t="shared" si="12"/>
        <v/>
      </c>
    </row>
    <row r="26" spans="1:69" ht="15" customHeight="1" x14ac:dyDescent="0.3">
      <c r="A26" s="393" t="s">
        <v>24</v>
      </c>
      <c r="B26" s="394"/>
      <c r="C26" s="394"/>
      <c r="D26" s="394"/>
      <c r="E26" s="81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9"/>
      <c r="Z26" s="139"/>
      <c r="AA26" s="140"/>
      <c r="AB26" s="141" t="s">
        <v>16</v>
      </c>
      <c r="AC26" s="140"/>
      <c r="AD26" s="142"/>
      <c r="AE26" s="143"/>
      <c r="AF26" s="143"/>
      <c r="AG26" s="144"/>
      <c r="AH26" s="145"/>
      <c r="AI26" s="145"/>
      <c r="AJ26" s="342"/>
      <c r="AK26" s="343"/>
      <c r="AL26" s="346"/>
      <c r="AM26" s="347"/>
      <c r="AN26" s="146"/>
      <c r="AO26" s="101" t="str">
        <f t="shared" si="19"/>
        <v/>
      </c>
      <c r="AP26" s="113" t="str">
        <f t="shared" si="20"/>
        <v>-</v>
      </c>
      <c r="AQ26" s="119"/>
      <c r="AR26" s="103" t="str">
        <f t="shared" si="21"/>
        <v/>
      </c>
      <c r="AY26" s="38" t="str">
        <f t="shared" si="1"/>
        <v/>
      </c>
      <c r="AZ26" s="38" t="str">
        <f t="shared" si="2"/>
        <v>0</v>
      </c>
      <c r="BA26" s="38" t="str">
        <f t="shared" si="3"/>
        <v>0</v>
      </c>
      <c r="BB26" s="38" t="str">
        <f t="shared" si="4"/>
        <v>0</v>
      </c>
      <c r="BC26" s="38">
        <f t="shared" si="5"/>
        <v>0</v>
      </c>
      <c r="BD26" s="38">
        <f t="shared" si="6"/>
        <v>0</v>
      </c>
      <c r="BL26" s="38" t="str">
        <f t="shared" si="7"/>
        <v/>
      </c>
      <c r="BM26" s="38" t="str">
        <f t="shared" si="8"/>
        <v/>
      </c>
      <c r="BN26" s="38" t="str">
        <f t="shared" si="9"/>
        <v/>
      </c>
      <c r="BO26" s="38" t="str">
        <f t="shared" si="10"/>
        <v/>
      </c>
      <c r="BP26" s="38" t="str">
        <f t="shared" si="11"/>
        <v/>
      </c>
      <c r="BQ26" s="38" t="str">
        <f t="shared" si="12"/>
        <v/>
      </c>
    </row>
    <row r="27" spans="1:69" ht="15.6" x14ac:dyDescent="0.3">
      <c r="A27" s="393"/>
      <c r="B27" s="394"/>
      <c r="C27" s="394"/>
      <c r="D27" s="394"/>
      <c r="E27" s="81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9"/>
      <c r="Z27" s="139"/>
      <c r="AA27" s="140"/>
      <c r="AB27" s="141" t="s">
        <v>16</v>
      </c>
      <c r="AC27" s="140"/>
      <c r="AD27" s="142"/>
      <c r="AE27" s="143"/>
      <c r="AF27" s="143"/>
      <c r="AG27" s="144"/>
      <c r="AH27" s="145"/>
      <c r="AI27" s="145"/>
      <c r="AJ27" s="342"/>
      <c r="AK27" s="343"/>
      <c r="AL27" s="346"/>
      <c r="AM27" s="347"/>
      <c r="AN27" s="146"/>
      <c r="AO27" s="101" t="str">
        <f t="shared" si="19"/>
        <v/>
      </c>
      <c r="AP27" s="113" t="str">
        <f t="shared" si="20"/>
        <v>-</v>
      </c>
      <c r="AQ27" s="119"/>
      <c r="AR27" s="103" t="str">
        <f t="shared" si="21"/>
        <v/>
      </c>
      <c r="AY27" s="38" t="str">
        <f t="shared" si="1"/>
        <v/>
      </c>
      <c r="AZ27" s="38" t="str">
        <f t="shared" si="2"/>
        <v>0</v>
      </c>
      <c r="BA27" s="38" t="str">
        <f t="shared" si="3"/>
        <v>0</v>
      </c>
      <c r="BB27" s="38" t="str">
        <f t="shared" si="4"/>
        <v>0</v>
      </c>
      <c r="BC27" s="38">
        <f t="shared" si="5"/>
        <v>0</v>
      </c>
      <c r="BD27" s="38">
        <f t="shared" si="6"/>
        <v>0</v>
      </c>
      <c r="BL27" s="38" t="str">
        <f t="shared" si="7"/>
        <v/>
      </c>
      <c r="BM27" s="38" t="str">
        <f t="shared" si="8"/>
        <v/>
      </c>
      <c r="BN27" s="38" t="str">
        <f t="shared" si="9"/>
        <v/>
      </c>
      <c r="BO27" s="38" t="str">
        <f t="shared" si="10"/>
        <v/>
      </c>
      <c r="BP27" s="38" t="str">
        <f t="shared" si="11"/>
        <v/>
      </c>
      <c r="BQ27" s="38" t="str">
        <f t="shared" si="12"/>
        <v/>
      </c>
    </row>
    <row r="28" spans="1:69" ht="15.6" x14ac:dyDescent="0.3">
      <c r="A28" s="395"/>
      <c r="B28" s="396"/>
      <c r="C28" s="396"/>
      <c r="D28" s="396"/>
      <c r="E28" s="81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1"/>
      <c r="Z28" s="147"/>
      <c r="AA28" s="140"/>
      <c r="AB28" s="148" t="str">
        <f>+AB25</f>
        <v>-</v>
      </c>
      <c r="AC28" s="140"/>
      <c r="AD28" s="142"/>
      <c r="AE28" s="143"/>
      <c r="AF28" s="143"/>
      <c r="AG28" s="144"/>
      <c r="AH28" s="145"/>
      <c r="AI28" s="145"/>
      <c r="AJ28" s="342"/>
      <c r="AK28" s="343"/>
      <c r="AL28" s="346"/>
      <c r="AM28" s="347"/>
      <c r="AN28" s="146"/>
      <c r="AO28" s="101" t="str">
        <f t="shared" si="19"/>
        <v/>
      </c>
      <c r="AP28" s="113" t="str">
        <f t="shared" si="20"/>
        <v>-</v>
      </c>
      <c r="AQ28" s="119"/>
      <c r="AR28" s="103" t="str">
        <f t="shared" si="21"/>
        <v/>
      </c>
      <c r="AY28" s="38" t="str">
        <f t="shared" si="1"/>
        <v/>
      </c>
      <c r="AZ28" s="38" t="str">
        <f t="shared" si="2"/>
        <v>0</v>
      </c>
      <c r="BA28" s="38" t="str">
        <f t="shared" si="3"/>
        <v>0</v>
      </c>
      <c r="BB28" s="38" t="str">
        <f t="shared" si="4"/>
        <v>0</v>
      </c>
      <c r="BC28" s="38">
        <f t="shared" si="5"/>
        <v>0</v>
      </c>
      <c r="BD28" s="38">
        <f t="shared" si="6"/>
        <v>0</v>
      </c>
      <c r="BL28" s="38" t="str">
        <f t="shared" si="7"/>
        <v/>
      </c>
      <c r="BM28" s="38" t="str">
        <f t="shared" si="8"/>
        <v/>
      </c>
      <c r="BN28" s="38" t="str">
        <f t="shared" si="9"/>
        <v/>
      </c>
      <c r="BO28" s="38" t="str">
        <f t="shared" si="10"/>
        <v/>
      </c>
      <c r="BP28" s="38" t="str">
        <f t="shared" si="11"/>
        <v/>
      </c>
      <c r="BQ28" s="38" t="str">
        <f t="shared" si="12"/>
        <v/>
      </c>
    </row>
    <row r="29" spans="1:69" ht="15.6" x14ac:dyDescent="0.3">
      <c r="A29" s="86" t="s">
        <v>0</v>
      </c>
      <c r="B29" s="87" t="s">
        <v>1</v>
      </c>
      <c r="C29" s="64"/>
      <c r="D29" s="89"/>
      <c r="E29" s="88" t="s">
        <v>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90"/>
      <c r="V29" s="91" t="s">
        <v>3</v>
      </c>
      <c r="W29" s="91" t="s">
        <v>4</v>
      </c>
      <c r="X29" s="91" t="s">
        <v>5</v>
      </c>
      <c r="Y29" s="92" t="s">
        <v>6</v>
      </c>
      <c r="Z29" s="111"/>
      <c r="AA29" s="149"/>
      <c r="AB29" s="150" t="str">
        <f t="shared" si="16"/>
        <v>-</v>
      </c>
      <c r="AC29" s="149"/>
      <c r="AD29" s="151"/>
      <c r="AE29" s="152"/>
      <c r="AF29" s="152"/>
      <c r="AG29" s="153"/>
      <c r="AH29" s="154"/>
      <c r="AI29" s="154"/>
      <c r="AJ29" s="342"/>
      <c r="AK29" s="343"/>
      <c r="AL29" s="348"/>
      <c r="AM29" s="349"/>
      <c r="AN29" s="155"/>
      <c r="AO29" s="101" t="str">
        <f t="shared" si="19"/>
        <v/>
      </c>
      <c r="AP29" s="113" t="str">
        <f t="shared" si="20"/>
        <v>-</v>
      </c>
      <c r="AQ29" s="119"/>
      <c r="AR29" s="103" t="str">
        <f t="shared" si="21"/>
        <v/>
      </c>
      <c r="AY29" s="38" t="str">
        <f t="shared" si="1"/>
        <v/>
      </c>
      <c r="AZ29" s="38" t="str">
        <f t="shared" si="2"/>
        <v>0</v>
      </c>
      <c r="BA29" s="38" t="str">
        <f t="shared" si="3"/>
        <v>0</v>
      </c>
      <c r="BB29" s="38" t="str">
        <f t="shared" si="4"/>
        <v>0</v>
      </c>
      <c r="BC29" s="38">
        <f t="shared" si="5"/>
        <v>0</v>
      </c>
      <c r="BD29" s="38">
        <f t="shared" si="6"/>
        <v>0</v>
      </c>
      <c r="BL29" s="38" t="str">
        <f t="shared" si="7"/>
        <v/>
      </c>
      <c r="BM29" s="38" t="str">
        <f t="shared" si="8"/>
        <v/>
      </c>
      <c r="BN29" s="38" t="str">
        <f t="shared" si="9"/>
        <v/>
      </c>
      <c r="BO29" s="38" t="str">
        <f t="shared" si="10"/>
        <v/>
      </c>
      <c r="BP29" s="38" t="str">
        <f t="shared" si="11"/>
        <v/>
      </c>
      <c r="BQ29" s="38" t="str">
        <f t="shared" si="12"/>
        <v/>
      </c>
    </row>
    <row r="30" spans="1:69" ht="15.6" x14ac:dyDescent="0.3">
      <c r="A30" s="104" t="s">
        <v>265</v>
      </c>
      <c r="B30" s="397">
        <f>IF(ISBLANK(HLOOKUP($F$25,spelerslijsten!$B$1:$J$22,4,FALSE)),"",HLOOKUP($F$25,spelerslijsten!$B$1:$J$22,4,FALSE))</f>
        <v>2</v>
      </c>
      <c r="C30" s="398"/>
      <c r="D30" s="105"/>
      <c r="E30" s="106" t="str">
        <f>IF(ISBLANK(HLOOKUP($F$25,spelerslijsten!$B$1:$J$22,3,FALSE)),"",HLOOKUP($F$25,spelerslijsten!$B$1:$J$22,3,FALSE))</f>
        <v>Corne Braken</v>
      </c>
      <c r="F30" s="105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8">
        <f t="shared" ref="V30:V39" si="23">SUMIF($AY$13:$AY$46,AT30,$BC$13:$BC$46)</f>
        <v>0</v>
      </c>
      <c r="W30" s="109" t="str">
        <f>IF(AU30&gt;0,"x","")</f>
        <v/>
      </c>
      <c r="X30" s="110" t="str">
        <f>IF(AU30&gt;1,"x","")</f>
        <v/>
      </c>
      <c r="Y30" s="103" t="str">
        <f>IF(AU30&gt;2,"x","")</f>
        <v/>
      </c>
      <c r="Z30" s="111"/>
      <c r="AA30" s="112"/>
      <c r="AB30" s="113" t="str">
        <f t="shared" si="16"/>
        <v>-</v>
      </c>
      <c r="AC30" s="112"/>
      <c r="AD30" s="114"/>
      <c r="AE30" s="115"/>
      <c r="AF30" s="115"/>
      <c r="AG30" s="116"/>
      <c r="AH30" s="117"/>
      <c r="AI30" s="117"/>
      <c r="AJ30" s="342"/>
      <c r="AK30" s="343"/>
      <c r="AL30" s="346"/>
      <c r="AM30" s="347"/>
      <c r="AN30" s="118"/>
      <c r="AO30" s="101" t="str">
        <f t="shared" si="19"/>
        <v/>
      </c>
      <c r="AP30" s="113" t="str">
        <f t="shared" si="20"/>
        <v>-</v>
      </c>
      <c r="AQ30" s="119"/>
      <c r="AR30" s="103" t="str">
        <f t="shared" si="21"/>
        <v/>
      </c>
      <c r="AT30" s="38" t="str">
        <f>CONCATENATE($AV$11&amp;B30)</f>
        <v>B2</v>
      </c>
      <c r="AU30" s="38">
        <f t="shared" si="18"/>
        <v>0</v>
      </c>
      <c r="AY30" s="38" t="str">
        <f t="shared" si="1"/>
        <v/>
      </c>
      <c r="AZ30" s="38" t="str">
        <f t="shared" si="2"/>
        <v>0</v>
      </c>
      <c r="BA30" s="38" t="str">
        <f t="shared" si="3"/>
        <v>0</v>
      </c>
      <c r="BB30" s="38" t="str">
        <f t="shared" si="4"/>
        <v>0</v>
      </c>
      <c r="BC30" s="38">
        <f t="shared" si="5"/>
        <v>0</v>
      </c>
      <c r="BD30" s="38">
        <f t="shared" si="6"/>
        <v>0</v>
      </c>
      <c r="BL30" s="38" t="str">
        <f t="shared" si="7"/>
        <v/>
      </c>
      <c r="BM30" s="38" t="str">
        <f t="shared" si="8"/>
        <v/>
      </c>
      <c r="BN30" s="38" t="str">
        <f t="shared" si="9"/>
        <v/>
      </c>
      <c r="BO30" s="38" t="str">
        <f t="shared" si="10"/>
        <v/>
      </c>
      <c r="BP30" s="38" t="str">
        <f t="shared" si="11"/>
        <v/>
      </c>
      <c r="BQ30" s="38" t="str">
        <f t="shared" si="12"/>
        <v/>
      </c>
    </row>
    <row r="31" spans="1:69" ht="15.6" x14ac:dyDescent="0.3">
      <c r="A31" s="120" t="s">
        <v>265</v>
      </c>
      <c r="B31" s="397">
        <f>IF(ISBLANK(HLOOKUP($F$25,spelerslijsten!$B$1:$J$22,6,FALSE)),"",HLOOKUP($F$25,spelerslijsten!$B$1:$J$22,6,FALSE))</f>
        <v>3</v>
      </c>
      <c r="C31" s="398"/>
      <c r="D31" s="121"/>
      <c r="E31" s="122" t="str">
        <f>IF(ISBLANK(HLOOKUP($F$25,spelerslijsten!$B$1:$J$22,5,FALSE)),"",HLOOKUP($F$25,spelerslijsten!$B$1:$J$22,5,FALSE))</f>
        <v>Kevin Kanters</v>
      </c>
      <c r="F31" s="12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08">
        <f t="shared" si="23"/>
        <v>0</v>
      </c>
      <c r="W31" s="109" t="str">
        <f t="shared" ref="W31:W39" si="24">IF(AU31&gt;0,"x","")</f>
        <v/>
      </c>
      <c r="X31" s="110" t="str">
        <f t="shared" ref="X31:X39" si="25">IF(AU31&gt;1,"x","")</f>
        <v/>
      </c>
      <c r="Y31" s="103" t="str">
        <f t="shared" ref="Y31:Y39" si="26">IF(AU31&gt;2,"x","")</f>
        <v/>
      </c>
      <c r="Z31" s="111"/>
      <c r="AA31" s="112"/>
      <c r="AB31" s="113" t="str">
        <f t="shared" si="16"/>
        <v>-</v>
      </c>
      <c r="AC31" s="112"/>
      <c r="AD31" s="114"/>
      <c r="AE31" s="115"/>
      <c r="AF31" s="115"/>
      <c r="AG31" s="116"/>
      <c r="AH31" s="117"/>
      <c r="AI31" s="117"/>
      <c r="AJ31" s="342"/>
      <c r="AK31" s="343"/>
      <c r="AL31" s="346"/>
      <c r="AM31" s="347"/>
      <c r="AN31" s="118"/>
      <c r="AO31" s="101" t="str">
        <f t="shared" si="19"/>
        <v/>
      </c>
      <c r="AP31" s="113" t="str">
        <f t="shared" si="20"/>
        <v>-</v>
      </c>
      <c r="AQ31" s="119"/>
      <c r="AR31" s="103" t="str">
        <f t="shared" si="21"/>
        <v/>
      </c>
      <c r="AT31" s="38" t="str">
        <f t="shared" ref="AT31:AT39" si="27">CONCATENATE($AV$11&amp;B31)</f>
        <v>B3</v>
      </c>
      <c r="AU31" s="38">
        <f t="shared" si="18"/>
        <v>0</v>
      </c>
      <c r="AY31" s="38" t="str">
        <f t="shared" si="1"/>
        <v/>
      </c>
      <c r="AZ31" s="38" t="str">
        <f t="shared" si="2"/>
        <v>0</v>
      </c>
      <c r="BA31" s="38" t="str">
        <f t="shared" si="3"/>
        <v>0</v>
      </c>
      <c r="BB31" s="38" t="str">
        <f t="shared" si="4"/>
        <v>0</v>
      </c>
      <c r="BC31" s="38">
        <f t="shared" si="5"/>
        <v>0</v>
      </c>
      <c r="BD31" s="38">
        <f t="shared" si="6"/>
        <v>0</v>
      </c>
      <c r="BL31" s="38" t="str">
        <f t="shared" si="7"/>
        <v/>
      </c>
      <c r="BM31" s="38" t="str">
        <f t="shared" si="8"/>
        <v/>
      </c>
      <c r="BN31" s="38" t="str">
        <f t="shared" si="9"/>
        <v/>
      </c>
      <c r="BO31" s="38" t="str">
        <f t="shared" si="10"/>
        <v/>
      </c>
      <c r="BP31" s="38" t="str">
        <f t="shared" si="11"/>
        <v/>
      </c>
      <c r="BQ31" s="38" t="str">
        <f t="shared" si="12"/>
        <v/>
      </c>
    </row>
    <row r="32" spans="1:69" ht="15.6" x14ac:dyDescent="0.3">
      <c r="A32" s="124" t="s">
        <v>265</v>
      </c>
      <c r="B32" s="397">
        <f>IF(ISBLANK(HLOOKUP($F$25,spelerslijsten!$B$1:$J$22,8,FALSE)),"",HLOOKUP($F$25,spelerslijsten!$B$1:$J$22,8,FALSE))</f>
        <v>4</v>
      </c>
      <c r="C32" s="398"/>
      <c r="D32" s="121"/>
      <c r="E32" s="122" t="str">
        <f>IF(ISBLANK(HLOOKUP($F$25,spelerslijsten!$B$1:$J$22,7,FALSE)),"",HLOOKUP($F$25,spelerslijsten!$B$1:$J$22,7,FALSE))</f>
        <v>Monique Schouten</v>
      </c>
      <c r="F32" s="12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08">
        <f t="shared" si="23"/>
        <v>0</v>
      </c>
      <c r="W32" s="109" t="str">
        <f t="shared" si="24"/>
        <v/>
      </c>
      <c r="X32" s="110" t="str">
        <f t="shared" si="25"/>
        <v/>
      </c>
      <c r="Y32" s="103" t="str">
        <f t="shared" si="26"/>
        <v/>
      </c>
      <c r="Z32" s="111"/>
      <c r="AA32" s="112"/>
      <c r="AB32" s="113" t="str">
        <f t="shared" si="16"/>
        <v>-</v>
      </c>
      <c r="AC32" s="112"/>
      <c r="AD32" s="114"/>
      <c r="AE32" s="115"/>
      <c r="AF32" s="115"/>
      <c r="AG32" s="116"/>
      <c r="AH32" s="117"/>
      <c r="AI32" s="117"/>
      <c r="AJ32" s="342"/>
      <c r="AK32" s="343"/>
      <c r="AL32" s="346"/>
      <c r="AM32" s="347"/>
      <c r="AN32" s="118"/>
      <c r="AO32" s="101" t="str">
        <f t="shared" si="19"/>
        <v/>
      </c>
      <c r="AP32" s="113" t="str">
        <f t="shared" si="20"/>
        <v>-</v>
      </c>
      <c r="AQ32" s="119"/>
      <c r="AR32" s="103" t="str">
        <f t="shared" si="21"/>
        <v/>
      </c>
      <c r="AT32" s="38" t="str">
        <f t="shared" si="27"/>
        <v>B4</v>
      </c>
      <c r="AU32" s="38">
        <f t="shared" si="18"/>
        <v>0</v>
      </c>
      <c r="AY32" s="38" t="str">
        <f t="shared" si="1"/>
        <v/>
      </c>
      <c r="AZ32" s="38" t="str">
        <f t="shared" si="2"/>
        <v>0</v>
      </c>
      <c r="BA32" s="38" t="str">
        <f t="shared" si="3"/>
        <v>0</v>
      </c>
      <c r="BB32" s="38" t="str">
        <f t="shared" si="4"/>
        <v>0</v>
      </c>
      <c r="BC32" s="38">
        <f t="shared" si="5"/>
        <v>0</v>
      </c>
      <c r="BD32" s="38">
        <f t="shared" si="6"/>
        <v>0</v>
      </c>
      <c r="BL32" s="38" t="str">
        <f t="shared" si="7"/>
        <v/>
      </c>
      <c r="BM32" s="38" t="str">
        <f t="shared" si="8"/>
        <v/>
      </c>
      <c r="BN32" s="38" t="str">
        <f t="shared" si="9"/>
        <v/>
      </c>
      <c r="BO32" s="38" t="str">
        <f t="shared" si="10"/>
        <v/>
      </c>
      <c r="BP32" s="38" t="str">
        <f t="shared" si="11"/>
        <v/>
      </c>
      <c r="BQ32" s="38" t="str">
        <f t="shared" si="12"/>
        <v/>
      </c>
    </row>
    <row r="33" spans="1:69" ht="15.6" x14ac:dyDescent="0.3">
      <c r="A33" s="124" t="s">
        <v>265</v>
      </c>
      <c r="B33" s="397">
        <f>IF(ISBLANK(HLOOKUP($F$25,spelerslijsten!$B$1:$J$22,10,FALSE)),"",HLOOKUP($F$25,spelerslijsten!$B$1:$J$22,10,FALSE))</f>
        <v>5</v>
      </c>
      <c r="C33" s="398"/>
      <c r="D33" s="121"/>
      <c r="E33" s="122" t="str">
        <f>IF(ISBLANK(HLOOKUP($F$25,spelerslijsten!$B$1:$J$22,9,FALSE)),"",HLOOKUP($F$25,spelerslijsten!$B$1:$J$22,9,FALSE))</f>
        <v>Miranda van Schaijk</v>
      </c>
      <c r="F33" s="12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08">
        <f t="shared" si="23"/>
        <v>0</v>
      </c>
      <c r="W33" s="109" t="str">
        <f t="shared" si="24"/>
        <v/>
      </c>
      <c r="X33" s="110" t="str">
        <f t="shared" si="25"/>
        <v/>
      </c>
      <c r="Y33" s="103" t="str">
        <f t="shared" si="26"/>
        <v/>
      </c>
      <c r="Z33" s="111"/>
      <c r="AA33" s="112"/>
      <c r="AB33" s="113" t="str">
        <f t="shared" si="16"/>
        <v>-</v>
      </c>
      <c r="AC33" s="112"/>
      <c r="AD33" s="114"/>
      <c r="AE33" s="115"/>
      <c r="AF33" s="115"/>
      <c r="AG33" s="116"/>
      <c r="AH33" s="117"/>
      <c r="AI33" s="117"/>
      <c r="AJ33" s="342"/>
      <c r="AK33" s="343"/>
      <c r="AL33" s="346"/>
      <c r="AM33" s="347"/>
      <c r="AN33" s="118"/>
      <c r="AO33" s="101" t="str">
        <f t="shared" si="19"/>
        <v/>
      </c>
      <c r="AP33" s="113" t="str">
        <f t="shared" si="20"/>
        <v>-</v>
      </c>
      <c r="AQ33" s="119"/>
      <c r="AR33" s="103" t="str">
        <f t="shared" si="21"/>
        <v/>
      </c>
      <c r="AT33" s="38" t="str">
        <f t="shared" si="27"/>
        <v>B5</v>
      </c>
      <c r="AU33" s="38">
        <f t="shared" si="18"/>
        <v>0</v>
      </c>
      <c r="AY33" s="38" t="str">
        <f t="shared" si="1"/>
        <v/>
      </c>
      <c r="AZ33" s="38" t="str">
        <f t="shared" si="2"/>
        <v>0</v>
      </c>
      <c r="BA33" s="38" t="str">
        <f t="shared" si="3"/>
        <v>0</v>
      </c>
      <c r="BB33" s="38" t="str">
        <f t="shared" si="4"/>
        <v>0</v>
      </c>
      <c r="BC33" s="38">
        <f t="shared" si="5"/>
        <v>0</v>
      </c>
      <c r="BD33" s="38">
        <f t="shared" si="6"/>
        <v>0</v>
      </c>
      <c r="BL33" s="38" t="str">
        <f t="shared" si="7"/>
        <v/>
      </c>
      <c r="BM33" s="38" t="str">
        <f t="shared" si="8"/>
        <v/>
      </c>
      <c r="BN33" s="38" t="str">
        <f t="shared" si="9"/>
        <v/>
      </c>
      <c r="BO33" s="38" t="str">
        <f t="shared" si="10"/>
        <v/>
      </c>
      <c r="BP33" s="38" t="str">
        <f t="shared" si="11"/>
        <v/>
      </c>
      <c r="BQ33" s="38" t="str">
        <f t="shared" si="12"/>
        <v/>
      </c>
    </row>
    <row r="34" spans="1:69" ht="15.6" x14ac:dyDescent="0.3">
      <c r="A34" s="124" t="s">
        <v>265</v>
      </c>
      <c r="B34" s="397">
        <f>IF(ISBLANK(HLOOKUP($F$25,spelerslijsten!$B$1:$J$22,12,FALSE)),"",HLOOKUP($F$25,spelerslijsten!$B$1:$J$22,12,FALSE))</f>
        <v>6</v>
      </c>
      <c r="C34" s="398"/>
      <c r="D34" s="121"/>
      <c r="E34" s="122" t="str">
        <f>IF(ISBLANK(HLOOKUP($F$25,spelerslijsten!$B$1:$J$22,11,FALSE)),"",HLOOKUP($F$25,spelerslijsten!$B$1:$J$22,11,FALSE))</f>
        <v>Jan Zegers</v>
      </c>
      <c r="F34" s="12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08">
        <f t="shared" si="23"/>
        <v>1</v>
      </c>
      <c r="W34" s="109" t="str">
        <f t="shared" si="24"/>
        <v/>
      </c>
      <c r="X34" s="110" t="str">
        <f t="shared" si="25"/>
        <v/>
      </c>
      <c r="Y34" s="103" t="str">
        <f t="shared" si="26"/>
        <v/>
      </c>
      <c r="Z34" s="111"/>
      <c r="AA34" s="112"/>
      <c r="AB34" s="113" t="str">
        <f t="shared" si="16"/>
        <v>-</v>
      </c>
      <c r="AC34" s="112"/>
      <c r="AD34" s="114"/>
      <c r="AE34" s="115"/>
      <c r="AF34" s="115"/>
      <c r="AG34" s="116"/>
      <c r="AH34" s="117"/>
      <c r="AI34" s="117"/>
      <c r="AJ34" s="342"/>
      <c r="AK34" s="343"/>
      <c r="AL34" s="346"/>
      <c r="AM34" s="347"/>
      <c r="AN34" s="118"/>
      <c r="AO34" s="101" t="str">
        <f t="shared" si="19"/>
        <v/>
      </c>
      <c r="AP34" s="113" t="str">
        <f t="shared" si="20"/>
        <v>-</v>
      </c>
      <c r="AQ34" s="119"/>
      <c r="AR34" s="103" t="str">
        <f t="shared" si="21"/>
        <v/>
      </c>
      <c r="AT34" s="38" t="str">
        <f t="shared" si="27"/>
        <v>B6</v>
      </c>
      <c r="AU34" s="38">
        <f t="shared" si="18"/>
        <v>0</v>
      </c>
      <c r="AY34" s="38" t="str">
        <f t="shared" si="1"/>
        <v/>
      </c>
      <c r="AZ34" s="38" t="str">
        <f t="shared" si="2"/>
        <v>0</v>
      </c>
      <c r="BA34" s="38" t="str">
        <f t="shared" si="3"/>
        <v>0</v>
      </c>
      <c r="BB34" s="38" t="str">
        <f t="shared" si="4"/>
        <v>0</v>
      </c>
      <c r="BC34" s="38">
        <f t="shared" si="5"/>
        <v>0</v>
      </c>
      <c r="BD34" s="38">
        <f t="shared" si="6"/>
        <v>0</v>
      </c>
      <c r="BL34" s="38" t="str">
        <f t="shared" si="7"/>
        <v/>
      </c>
      <c r="BM34" s="38" t="str">
        <f t="shared" si="8"/>
        <v/>
      </c>
      <c r="BN34" s="38" t="str">
        <f t="shared" si="9"/>
        <v/>
      </c>
      <c r="BO34" s="38" t="str">
        <f t="shared" si="10"/>
        <v/>
      </c>
      <c r="BP34" s="38" t="str">
        <f t="shared" si="11"/>
        <v/>
      </c>
      <c r="BQ34" s="38" t="str">
        <f t="shared" si="12"/>
        <v/>
      </c>
    </row>
    <row r="35" spans="1:69" ht="15.6" x14ac:dyDescent="0.3">
      <c r="A35" s="124" t="s">
        <v>265</v>
      </c>
      <c r="B35" s="397">
        <f>IF(ISBLANK(HLOOKUP($F$25,spelerslijsten!$B$1:$J$22,14,FALSE)),"",HLOOKUP($F$25,spelerslijsten!$B$1:$J$22,14,FALSE))</f>
        <v>9</v>
      </c>
      <c r="C35" s="398"/>
      <c r="D35" s="121"/>
      <c r="E35" s="122" t="str">
        <f>IF(ISBLANK(HLOOKUP($F$25,spelerslijsten!$B$1:$J$22,13,FALSE)),"",HLOOKUP($F$25,spelerslijsten!$B$1:$J$22,13,FALSE))</f>
        <v>Christian Gibbels</v>
      </c>
      <c r="F35" s="12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08">
        <f t="shared" si="23"/>
        <v>2</v>
      </c>
      <c r="W35" s="109" t="str">
        <f t="shared" si="24"/>
        <v/>
      </c>
      <c r="X35" s="110" t="str">
        <f t="shared" si="25"/>
        <v/>
      </c>
      <c r="Y35" s="103" t="str">
        <f t="shared" si="26"/>
        <v/>
      </c>
      <c r="Z35" s="111"/>
      <c r="AA35" s="112"/>
      <c r="AB35" s="113" t="str">
        <f t="shared" si="16"/>
        <v>-</v>
      </c>
      <c r="AC35" s="112"/>
      <c r="AD35" s="114"/>
      <c r="AE35" s="115"/>
      <c r="AF35" s="115"/>
      <c r="AG35" s="116"/>
      <c r="AH35" s="117"/>
      <c r="AI35" s="117"/>
      <c r="AJ35" s="342"/>
      <c r="AK35" s="343"/>
      <c r="AL35" s="346"/>
      <c r="AM35" s="347"/>
      <c r="AN35" s="118"/>
      <c r="AO35" s="101" t="str">
        <f t="shared" si="19"/>
        <v/>
      </c>
      <c r="AP35" s="113" t="str">
        <f t="shared" si="20"/>
        <v>-</v>
      </c>
      <c r="AQ35" s="119"/>
      <c r="AR35" s="103" t="str">
        <f t="shared" si="21"/>
        <v/>
      </c>
      <c r="AT35" s="38" t="str">
        <f t="shared" si="27"/>
        <v>B9</v>
      </c>
      <c r="AU35" s="38">
        <f t="shared" si="18"/>
        <v>0</v>
      </c>
      <c r="AY35" s="38" t="str">
        <f t="shared" si="1"/>
        <v/>
      </c>
      <c r="AZ35" s="38" t="str">
        <f t="shared" si="2"/>
        <v>0</v>
      </c>
      <c r="BA35" s="38" t="str">
        <f t="shared" si="3"/>
        <v>0</v>
      </c>
      <c r="BB35" s="38" t="str">
        <f t="shared" si="4"/>
        <v>0</v>
      </c>
      <c r="BC35" s="38">
        <f t="shared" si="5"/>
        <v>0</v>
      </c>
      <c r="BD35" s="38">
        <f t="shared" si="6"/>
        <v>0</v>
      </c>
      <c r="BL35" s="38" t="str">
        <f t="shared" si="7"/>
        <v/>
      </c>
      <c r="BM35" s="38" t="str">
        <f t="shared" si="8"/>
        <v/>
      </c>
      <c r="BN35" s="38" t="str">
        <f t="shared" si="9"/>
        <v/>
      </c>
      <c r="BO35" s="38" t="str">
        <f t="shared" si="10"/>
        <v/>
      </c>
      <c r="BP35" s="38" t="str">
        <f t="shared" si="11"/>
        <v/>
      </c>
      <c r="BQ35" s="38" t="str">
        <f t="shared" si="12"/>
        <v/>
      </c>
    </row>
    <row r="36" spans="1:69" ht="15.6" x14ac:dyDescent="0.3">
      <c r="A36" s="124" t="s">
        <v>265</v>
      </c>
      <c r="B36" s="397">
        <f>IF(ISBLANK(HLOOKUP($F$25,spelerslijsten!$B$1:$J$22,16,FALSE)),"",HLOOKUP($F$25,spelerslijsten!$B$1:$J$22,16,FALSE))</f>
        <v>10</v>
      </c>
      <c r="C36" s="398"/>
      <c r="D36" s="121"/>
      <c r="E36" s="122" t="str">
        <f>IF(ISBLANK(HLOOKUP($F$25,spelerslijsten!$B$1:$J$22,15,FALSE)),"",HLOOKUP($F$25,spelerslijsten!$B$1:$J$22,15,FALSE))</f>
        <v>Stefan van der Wielen</v>
      </c>
      <c r="F36" s="12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08">
        <f t="shared" si="23"/>
        <v>0</v>
      </c>
      <c r="W36" s="109" t="str">
        <f t="shared" si="24"/>
        <v/>
      </c>
      <c r="X36" s="110" t="str">
        <f t="shared" si="25"/>
        <v/>
      </c>
      <c r="Y36" s="103" t="str">
        <f t="shared" si="26"/>
        <v/>
      </c>
      <c r="Z36" s="111"/>
      <c r="AA36" s="112"/>
      <c r="AB36" s="113" t="str">
        <f t="shared" si="16"/>
        <v>-</v>
      </c>
      <c r="AC36" s="112"/>
      <c r="AD36" s="114"/>
      <c r="AE36" s="115"/>
      <c r="AF36" s="115"/>
      <c r="AG36" s="116"/>
      <c r="AH36" s="117"/>
      <c r="AI36" s="117"/>
      <c r="AJ36" s="342"/>
      <c r="AK36" s="343"/>
      <c r="AL36" s="346"/>
      <c r="AM36" s="347"/>
      <c r="AN36" s="118"/>
      <c r="AO36" s="101" t="str">
        <f t="shared" si="19"/>
        <v/>
      </c>
      <c r="AP36" s="113" t="str">
        <f t="shared" si="20"/>
        <v>-</v>
      </c>
      <c r="AQ36" s="119"/>
      <c r="AR36" s="103" t="str">
        <f t="shared" si="21"/>
        <v/>
      </c>
      <c r="AT36" s="38" t="str">
        <f t="shared" si="27"/>
        <v>B10</v>
      </c>
      <c r="AU36" s="38">
        <f t="shared" si="18"/>
        <v>0</v>
      </c>
      <c r="AY36" s="38" t="str">
        <f t="shared" si="1"/>
        <v/>
      </c>
      <c r="AZ36" s="38" t="str">
        <f t="shared" si="2"/>
        <v>0</v>
      </c>
      <c r="BA36" s="38" t="str">
        <f t="shared" si="3"/>
        <v>0</v>
      </c>
      <c r="BB36" s="38" t="str">
        <f t="shared" si="4"/>
        <v>0</v>
      </c>
      <c r="BC36" s="38">
        <f t="shared" si="5"/>
        <v>0</v>
      </c>
      <c r="BD36" s="38">
        <f t="shared" si="6"/>
        <v>0</v>
      </c>
      <c r="BL36" s="38" t="str">
        <f t="shared" si="7"/>
        <v/>
      </c>
      <c r="BM36" s="38" t="str">
        <f t="shared" si="8"/>
        <v/>
      </c>
      <c r="BN36" s="38" t="str">
        <f t="shared" si="9"/>
        <v/>
      </c>
      <c r="BO36" s="38" t="str">
        <f t="shared" si="10"/>
        <v/>
      </c>
      <c r="BP36" s="38" t="str">
        <f t="shared" si="11"/>
        <v/>
      </c>
      <c r="BQ36" s="38" t="str">
        <f t="shared" si="12"/>
        <v/>
      </c>
    </row>
    <row r="37" spans="1:69" ht="15.6" x14ac:dyDescent="0.3">
      <c r="A37" s="124"/>
      <c r="B37" s="397" t="str">
        <f>IF(ISBLANK(HLOOKUP($F$25,spelerslijsten!$B$1:$J$22,18,FALSE)),"",HLOOKUP($F$25,spelerslijsten!$B$1:$J$22,18,FALSE))</f>
        <v/>
      </c>
      <c r="C37" s="398"/>
      <c r="D37" s="121"/>
      <c r="E37" s="122" t="str">
        <f>IF(ISBLANK(HLOOKUP($F$25,spelerslijsten!$B$1:$J$22,17,FALSE)),"",HLOOKUP($F$25,spelerslijsten!$B$1:$J$22,17,FALSE))</f>
        <v/>
      </c>
      <c r="F37" s="12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08">
        <f t="shared" si="23"/>
        <v>0</v>
      </c>
      <c r="W37" s="109" t="str">
        <f t="shared" si="24"/>
        <v/>
      </c>
      <c r="X37" s="110" t="str">
        <f t="shared" si="25"/>
        <v/>
      </c>
      <c r="Y37" s="103" t="str">
        <f t="shared" si="26"/>
        <v/>
      </c>
      <c r="Z37" s="111"/>
      <c r="AA37" s="112"/>
      <c r="AB37" s="113" t="str">
        <f t="shared" si="16"/>
        <v>-</v>
      </c>
      <c r="AC37" s="112"/>
      <c r="AD37" s="114"/>
      <c r="AE37" s="115"/>
      <c r="AF37" s="115"/>
      <c r="AG37" s="116"/>
      <c r="AH37" s="117"/>
      <c r="AI37" s="117"/>
      <c r="AJ37" s="342"/>
      <c r="AK37" s="343"/>
      <c r="AL37" s="346"/>
      <c r="AM37" s="347"/>
      <c r="AN37" s="118"/>
      <c r="AO37" s="101" t="str">
        <f t="shared" si="19"/>
        <v/>
      </c>
      <c r="AP37" s="113" t="str">
        <f t="shared" si="20"/>
        <v>-</v>
      </c>
      <c r="AQ37" s="119"/>
      <c r="AR37" s="103" t="str">
        <f t="shared" si="21"/>
        <v/>
      </c>
      <c r="AT37" s="38" t="str">
        <f t="shared" si="27"/>
        <v>B</v>
      </c>
      <c r="AU37" s="38">
        <f t="shared" si="18"/>
        <v>0</v>
      </c>
      <c r="AY37" s="38" t="str">
        <f t="shared" si="1"/>
        <v/>
      </c>
      <c r="AZ37" s="38" t="str">
        <f t="shared" si="2"/>
        <v>0</v>
      </c>
      <c r="BA37" s="38" t="str">
        <f t="shared" si="3"/>
        <v>0</v>
      </c>
      <c r="BB37" s="38" t="str">
        <f t="shared" si="4"/>
        <v>0</v>
      </c>
      <c r="BC37" s="38">
        <f t="shared" si="5"/>
        <v>0</v>
      </c>
      <c r="BD37" s="38">
        <f t="shared" si="6"/>
        <v>0</v>
      </c>
      <c r="BL37" s="38" t="str">
        <f t="shared" si="7"/>
        <v/>
      </c>
      <c r="BM37" s="38" t="str">
        <f t="shared" si="8"/>
        <v/>
      </c>
      <c r="BN37" s="38" t="str">
        <f t="shared" si="9"/>
        <v/>
      </c>
      <c r="BO37" s="38" t="str">
        <f t="shared" si="10"/>
        <v/>
      </c>
      <c r="BP37" s="38" t="str">
        <f t="shared" si="11"/>
        <v/>
      </c>
      <c r="BQ37" s="38" t="str">
        <f t="shared" si="12"/>
        <v/>
      </c>
    </row>
    <row r="38" spans="1:69" ht="15.6" x14ac:dyDescent="0.3">
      <c r="A38" s="124"/>
      <c r="B38" s="397" t="str">
        <f>IF(ISBLANK(HLOOKUP($F$25,spelerslijsten!$B$1:$J$22,20,FALSE)),"",HLOOKUP($F$25,spelerslijsten!$B$1:$J$22,20,FALSE))</f>
        <v/>
      </c>
      <c r="C38" s="398"/>
      <c r="D38" s="121"/>
      <c r="E38" s="122" t="str">
        <f>IF(ISBLANK(HLOOKUP($F$25,spelerslijsten!$B$1:$J$22,19,FALSE)),"",HLOOKUP($F$25,spelerslijsten!$B$1:$J$22,19,FALSE))</f>
        <v/>
      </c>
      <c r="F38" s="12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08">
        <f t="shared" si="23"/>
        <v>0</v>
      </c>
      <c r="W38" s="109" t="str">
        <f t="shared" si="24"/>
        <v/>
      </c>
      <c r="X38" s="110" t="str">
        <f t="shared" si="25"/>
        <v/>
      </c>
      <c r="Y38" s="103" t="str">
        <f t="shared" si="26"/>
        <v/>
      </c>
      <c r="Z38" s="111"/>
      <c r="AA38" s="112"/>
      <c r="AB38" s="113" t="str">
        <f t="shared" si="16"/>
        <v>-</v>
      </c>
      <c r="AC38" s="112"/>
      <c r="AD38" s="114"/>
      <c r="AE38" s="115"/>
      <c r="AF38" s="115"/>
      <c r="AG38" s="116"/>
      <c r="AH38" s="117"/>
      <c r="AI38" s="117"/>
      <c r="AJ38" s="342"/>
      <c r="AK38" s="343"/>
      <c r="AL38" s="346"/>
      <c r="AM38" s="347"/>
      <c r="AN38" s="118"/>
      <c r="AO38" s="101" t="str">
        <f t="shared" si="19"/>
        <v/>
      </c>
      <c r="AP38" s="113" t="str">
        <f t="shared" si="20"/>
        <v>-</v>
      </c>
      <c r="AQ38" s="119"/>
      <c r="AR38" s="103" t="str">
        <f t="shared" si="21"/>
        <v/>
      </c>
      <c r="AT38" s="38" t="str">
        <f t="shared" si="27"/>
        <v>B</v>
      </c>
      <c r="AU38" s="38">
        <f t="shared" si="18"/>
        <v>0</v>
      </c>
      <c r="AY38" s="38" t="str">
        <f t="shared" si="1"/>
        <v/>
      </c>
      <c r="AZ38" s="38" t="str">
        <f t="shared" si="2"/>
        <v>0</v>
      </c>
      <c r="BA38" s="38" t="str">
        <f t="shared" si="3"/>
        <v>0</v>
      </c>
      <c r="BB38" s="38" t="str">
        <f t="shared" si="4"/>
        <v>0</v>
      </c>
      <c r="BC38" s="38">
        <f t="shared" si="5"/>
        <v>0</v>
      </c>
      <c r="BD38" s="38">
        <f t="shared" si="6"/>
        <v>0</v>
      </c>
      <c r="BL38" s="38" t="str">
        <f t="shared" si="7"/>
        <v/>
      </c>
      <c r="BM38" s="38" t="str">
        <f t="shared" si="8"/>
        <v/>
      </c>
      <c r="BN38" s="38" t="str">
        <f t="shared" si="9"/>
        <v/>
      </c>
      <c r="BO38" s="38" t="str">
        <f t="shared" si="10"/>
        <v/>
      </c>
      <c r="BP38" s="38" t="str">
        <f t="shared" si="11"/>
        <v/>
      </c>
      <c r="BQ38" s="38" t="str">
        <f t="shared" si="12"/>
        <v/>
      </c>
    </row>
    <row r="39" spans="1:69" ht="15.6" x14ac:dyDescent="0.3">
      <c r="A39" s="125"/>
      <c r="B39" s="397" t="str">
        <f>IF(ISBLANK(HLOOKUP($F$25,spelerslijsten!$B$1:$J$22,22,FALSE)),"",HLOOKUP($F$25,spelerslijsten!$B$1:$J$22,22,FALSE))</f>
        <v/>
      </c>
      <c r="C39" s="398"/>
      <c r="D39" s="126"/>
      <c r="E39" s="259" t="str">
        <f>IF(ISBLANK(HLOOKUP($F$25,spelerslijsten!$B$1:$J$22,21,FALSE)),"",HLOOKUP($F$25,spelerslijsten!$B$1:$J$22,21,FALSE))</f>
        <v/>
      </c>
      <c r="F39" s="126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08">
        <f t="shared" si="23"/>
        <v>0</v>
      </c>
      <c r="W39" s="109" t="str">
        <f t="shared" si="24"/>
        <v/>
      </c>
      <c r="X39" s="110" t="str">
        <f t="shared" si="25"/>
        <v/>
      </c>
      <c r="Y39" s="103" t="str">
        <f t="shared" si="26"/>
        <v/>
      </c>
      <c r="Z39" s="111"/>
      <c r="AA39" s="112"/>
      <c r="AB39" s="113" t="str">
        <f t="shared" si="16"/>
        <v>-</v>
      </c>
      <c r="AC39" s="112"/>
      <c r="AD39" s="114"/>
      <c r="AE39" s="115"/>
      <c r="AF39" s="115"/>
      <c r="AG39" s="116"/>
      <c r="AH39" s="117"/>
      <c r="AI39" s="117"/>
      <c r="AJ39" s="342"/>
      <c r="AK39" s="343"/>
      <c r="AL39" s="346"/>
      <c r="AM39" s="347"/>
      <c r="AN39" s="118"/>
      <c r="AO39" s="101" t="str">
        <f t="shared" si="19"/>
        <v/>
      </c>
      <c r="AP39" s="113" t="str">
        <f t="shared" si="20"/>
        <v>-</v>
      </c>
      <c r="AQ39" s="119"/>
      <c r="AR39" s="103" t="str">
        <f t="shared" si="21"/>
        <v/>
      </c>
      <c r="AT39" s="38" t="str">
        <f t="shared" si="27"/>
        <v>B</v>
      </c>
      <c r="AU39" s="38">
        <f t="shared" si="18"/>
        <v>0</v>
      </c>
      <c r="AY39" s="38" t="str">
        <f t="shared" si="1"/>
        <v/>
      </c>
      <c r="AZ39" s="38" t="str">
        <f t="shared" si="2"/>
        <v>0</v>
      </c>
      <c r="BA39" s="38" t="str">
        <f t="shared" si="3"/>
        <v>0</v>
      </c>
      <c r="BB39" s="38" t="str">
        <f t="shared" si="4"/>
        <v>0</v>
      </c>
      <c r="BC39" s="38">
        <f t="shared" si="5"/>
        <v>0</v>
      </c>
      <c r="BD39" s="38">
        <f t="shared" si="6"/>
        <v>0</v>
      </c>
      <c r="BL39" s="38" t="str">
        <f t="shared" si="7"/>
        <v/>
      </c>
      <c r="BM39" s="38" t="str">
        <f t="shared" si="8"/>
        <v/>
      </c>
      <c r="BN39" s="38" t="str">
        <f t="shared" si="9"/>
        <v/>
      </c>
      <c r="BO39" s="38" t="str">
        <f t="shared" si="10"/>
        <v/>
      </c>
      <c r="BP39" s="38" t="str">
        <f t="shared" si="11"/>
        <v/>
      </c>
      <c r="BQ39" s="38" t="str">
        <f t="shared" si="12"/>
        <v/>
      </c>
    </row>
    <row r="40" spans="1:69" ht="16.2" thickBot="1" x14ac:dyDescent="0.35">
      <c r="A40" s="71" t="s">
        <v>67</v>
      </c>
      <c r="B40" s="72"/>
      <c r="C40" s="72"/>
      <c r="D40" s="72"/>
      <c r="E40" s="72"/>
      <c r="F40" s="72"/>
      <c r="G40" s="72"/>
      <c r="H40" s="72"/>
      <c r="I40" s="399">
        <f>HLOOKUP(F25,spelerslijsten!B1:J25,25,FALSE)</f>
        <v>2</v>
      </c>
      <c r="J40" s="400"/>
      <c r="K40" s="74" t="s">
        <v>23</v>
      </c>
      <c r="L40" s="72"/>
      <c r="M40" s="72"/>
      <c r="N40" s="129" t="str">
        <f>HLOOKUP(F25,spelerslijsten!B1:J25,23,FALSE)</f>
        <v>Mieke Reijnders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30"/>
      <c r="Z40" s="111"/>
      <c r="AA40" s="112"/>
      <c r="AB40" s="113" t="str">
        <f t="shared" si="16"/>
        <v>-</v>
      </c>
      <c r="AC40" s="112"/>
      <c r="AD40" s="114"/>
      <c r="AE40" s="115"/>
      <c r="AF40" s="115"/>
      <c r="AG40" s="116"/>
      <c r="AH40" s="117"/>
      <c r="AI40" s="117"/>
      <c r="AJ40" s="342"/>
      <c r="AK40" s="343"/>
      <c r="AL40" s="346"/>
      <c r="AM40" s="347"/>
      <c r="AN40" s="118"/>
      <c r="AO40" s="101" t="str">
        <f t="shared" si="19"/>
        <v/>
      </c>
      <c r="AP40" s="113" t="str">
        <f t="shared" si="20"/>
        <v>-</v>
      </c>
      <c r="AQ40" s="119"/>
      <c r="AR40" s="103" t="str">
        <f t="shared" si="21"/>
        <v/>
      </c>
      <c r="AY40" s="38" t="str">
        <f t="shared" si="1"/>
        <v/>
      </c>
      <c r="AZ40" s="38" t="str">
        <f t="shared" si="2"/>
        <v>0</v>
      </c>
      <c r="BA40" s="38" t="str">
        <f t="shared" si="3"/>
        <v>0</v>
      </c>
      <c r="BB40" s="38" t="str">
        <f t="shared" si="4"/>
        <v>0</v>
      </c>
      <c r="BC40" s="38">
        <f t="shared" si="5"/>
        <v>0</v>
      </c>
      <c r="BD40" s="38">
        <f t="shared" si="6"/>
        <v>0</v>
      </c>
      <c r="BL40" s="38" t="str">
        <f t="shared" si="7"/>
        <v/>
      </c>
      <c r="BM40" s="38" t="str">
        <f t="shared" si="8"/>
        <v/>
      </c>
      <c r="BN40" s="38" t="str">
        <f t="shared" si="9"/>
        <v/>
      </c>
      <c r="BO40" s="38" t="str">
        <f t="shared" si="10"/>
        <v/>
      </c>
      <c r="BP40" s="38" t="str">
        <f t="shared" si="11"/>
        <v/>
      </c>
      <c r="BQ40" s="38" t="str">
        <f t="shared" si="12"/>
        <v/>
      </c>
    </row>
    <row r="41" spans="1:69" ht="15.6" x14ac:dyDescent="0.3">
      <c r="A41" s="157" t="s">
        <v>68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158"/>
      <c r="Z41" s="111"/>
      <c r="AA41" s="112"/>
      <c r="AB41" s="113" t="str">
        <f t="shared" si="16"/>
        <v>-</v>
      </c>
      <c r="AC41" s="112"/>
      <c r="AD41" s="114"/>
      <c r="AE41" s="115"/>
      <c r="AF41" s="115"/>
      <c r="AG41" s="116"/>
      <c r="AH41" s="117"/>
      <c r="AI41" s="117"/>
      <c r="AJ41" s="342"/>
      <c r="AK41" s="343"/>
      <c r="AL41" s="346"/>
      <c r="AM41" s="347"/>
      <c r="AN41" s="118"/>
      <c r="AO41" s="101" t="str">
        <f t="shared" si="19"/>
        <v/>
      </c>
      <c r="AP41" s="113" t="str">
        <f t="shared" si="20"/>
        <v>-</v>
      </c>
      <c r="AQ41" s="119"/>
      <c r="AR41" s="103" t="str">
        <f t="shared" si="21"/>
        <v/>
      </c>
      <c r="AY41" s="38" t="str">
        <f t="shared" si="1"/>
        <v/>
      </c>
      <c r="AZ41" s="38" t="str">
        <f t="shared" si="2"/>
        <v>0</v>
      </c>
      <c r="BA41" s="38" t="str">
        <f t="shared" si="3"/>
        <v>0</v>
      </c>
      <c r="BB41" s="38" t="str">
        <f t="shared" si="4"/>
        <v>0</v>
      </c>
      <c r="BC41" s="38">
        <f t="shared" si="5"/>
        <v>0</v>
      </c>
      <c r="BD41" s="38">
        <f t="shared" si="6"/>
        <v>0</v>
      </c>
      <c r="BL41" s="38" t="str">
        <f t="shared" si="7"/>
        <v/>
      </c>
      <c r="BM41" s="38" t="str">
        <f t="shared" si="8"/>
        <v/>
      </c>
      <c r="BN41" s="38" t="str">
        <f t="shared" si="9"/>
        <v/>
      </c>
      <c r="BO41" s="38" t="str">
        <f t="shared" si="10"/>
        <v/>
      </c>
      <c r="BP41" s="38" t="str">
        <f t="shared" si="11"/>
        <v/>
      </c>
      <c r="BQ41" s="38" t="str">
        <f t="shared" si="12"/>
        <v/>
      </c>
    </row>
    <row r="42" spans="1:69" ht="15.6" x14ac:dyDescent="0.3">
      <c r="A42" s="15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60"/>
      <c r="Z42" s="111"/>
      <c r="AA42" s="112"/>
      <c r="AB42" s="113" t="str">
        <f t="shared" si="16"/>
        <v>-</v>
      </c>
      <c r="AC42" s="112"/>
      <c r="AD42" s="114"/>
      <c r="AE42" s="115"/>
      <c r="AF42" s="115"/>
      <c r="AG42" s="116"/>
      <c r="AH42" s="117"/>
      <c r="AI42" s="117"/>
      <c r="AJ42" s="342"/>
      <c r="AK42" s="343"/>
      <c r="AL42" s="346"/>
      <c r="AM42" s="347"/>
      <c r="AN42" s="118"/>
      <c r="AO42" s="101" t="str">
        <f t="shared" si="19"/>
        <v/>
      </c>
      <c r="AP42" s="113" t="str">
        <f t="shared" si="20"/>
        <v>-</v>
      </c>
      <c r="AQ42" s="119"/>
      <c r="AR42" s="103" t="str">
        <f t="shared" si="21"/>
        <v/>
      </c>
      <c r="AY42" s="38" t="str">
        <f t="shared" si="1"/>
        <v/>
      </c>
      <c r="AZ42" s="38" t="str">
        <f t="shared" si="2"/>
        <v>0</v>
      </c>
      <c r="BA42" s="38" t="str">
        <f t="shared" si="3"/>
        <v>0</v>
      </c>
      <c r="BB42" s="38" t="str">
        <f t="shared" si="4"/>
        <v>0</v>
      </c>
      <c r="BC42" s="38">
        <f t="shared" si="5"/>
        <v>0</v>
      </c>
      <c r="BD42" s="38">
        <f t="shared" si="6"/>
        <v>0</v>
      </c>
      <c r="BL42" s="38" t="str">
        <f t="shared" si="7"/>
        <v/>
      </c>
      <c r="BM42" s="38" t="str">
        <f t="shared" si="8"/>
        <v/>
      </c>
      <c r="BN42" s="38" t="str">
        <f t="shared" si="9"/>
        <v/>
      </c>
      <c r="BO42" s="38" t="str">
        <f t="shared" si="10"/>
        <v/>
      </c>
      <c r="BP42" s="38" t="str">
        <f t="shared" si="11"/>
        <v/>
      </c>
      <c r="BQ42" s="38" t="str">
        <f t="shared" si="12"/>
        <v/>
      </c>
    </row>
    <row r="43" spans="1:69" ht="15.6" x14ac:dyDescent="0.3">
      <c r="A43" s="16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62"/>
      <c r="Z43" s="111"/>
      <c r="AA43" s="112"/>
      <c r="AB43" s="113" t="str">
        <f t="shared" si="16"/>
        <v>-</v>
      </c>
      <c r="AC43" s="112"/>
      <c r="AD43" s="114"/>
      <c r="AE43" s="115"/>
      <c r="AF43" s="115"/>
      <c r="AG43" s="116"/>
      <c r="AH43" s="117"/>
      <c r="AI43" s="117"/>
      <c r="AJ43" s="342"/>
      <c r="AK43" s="343"/>
      <c r="AL43" s="346"/>
      <c r="AM43" s="347"/>
      <c r="AN43" s="118"/>
      <c r="AO43" s="101" t="str">
        <f t="shared" si="19"/>
        <v/>
      </c>
      <c r="AP43" s="113" t="str">
        <f t="shared" si="20"/>
        <v>-</v>
      </c>
      <c r="AQ43" s="119"/>
      <c r="AR43" s="103" t="str">
        <f t="shared" si="21"/>
        <v/>
      </c>
      <c r="AY43" s="38" t="str">
        <f t="shared" si="1"/>
        <v/>
      </c>
      <c r="AZ43" s="38" t="str">
        <f t="shared" si="2"/>
        <v>0</v>
      </c>
      <c r="BA43" s="38" t="str">
        <f t="shared" si="3"/>
        <v>0</v>
      </c>
      <c r="BB43" s="38" t="str">
        <f t="shared" si="4"/>
        <v>0</v>
      </c>
      <c r="BC43" s="38">
        <f t="shared" si="5"/>
        <v>0</v>
      </c>
      <c r="BD43" s="38">
        <f t="shared" si="6"/>
        <v>0</v>
      </c>
      <c r="BL43" s="38" t="str">
        <f t="shared" si="7"/>
        <v/>
      </c>
      <c r="BM43" s="38" t="str">
        <f t="shared" si="8"/>
        <v/>
      </c>
      <c r="BN43" s="38" t="str">
        <f t="shared" si="9"/>
        <v/>
      </c>
      <c r="BO43" s="38" t="str">
        <f t="shared" si="10"/>
        <v/>
      </c>
      <c r="BP43" s="38" t="str">
        <f t="shared" si="11"/>
        <v/>
      </c>
      <c r="BQ43" s="38" t="str">
        <f t="shared" si="12"/>
        <v/>
      </c>
    </row>
    <row r="44" spans="1:69" ht="15.6" x14ac:dyDescent="0.3">
      <c r="A44" s="16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62"/>
      <c r="Z44" s="111"/>
      <c r="AA44" s="112"/>
      <c r="AB44" s="113" t="str">
        <f t="shared" si="16"/>
        <v>-</v>
      </c>
      <c r="AC44" s="112"/>
      <c r="AD44" s="114"/>
      <c r="AE44" s="115"/>
      <c r="AF44" s="115"/>
      <c r="AG44" s="116"/>
      <c r="AH44" s="117"/>
      <c r="AI44" s="117"/>
      <c r="AJ44" s="342"/>
      <c r="AK44" s="343"/>
      <c r="AL44" s="346"/>
      <c r="AM44" s="347"/>
      <c r="AN44" s="118"/>
      <c r="AO44" s="101" t="str">
        <f t="shared" si="19"/>
        <v/>
      </c>
      <c r="AP44" s="113" t="str">
        <f t="shared" si="20"/>
        <v>-</v>
      </c>
      <c r="AQ44" s="119"/>
      <c r="AR44" s="103" t="str">
        <f t="shared" si="21"/>
        <v/>
      </c>
      <c r="AY44" s="38" t="str">
        <f t="shared" si="1"/>
        <v/>
      </c>
      <c r="AZ44" s="38" t="str">
        <f t="shared" si="2"/>
        <v>0</v>
      </c>
      <c r="BA44" s="38" t="str">
        <f t="shared" si="3"/>
        <v>0</v>
      </c>
      <c r="BB44" s="38" t="str">
        <f t="shared" si="4"/>
        <v>0</v>
      </c>
      <c r="BC44" s="38">
        <f t="shared" si="5"/>
        <v>0</v>
      </c>
      <c r="BD44" s="38">
        <f t="shared" si="6"/>
        <v>0</v>
      </c>
      <c r="BL44" s="38" t="str">
        <f t="shared" si="7"/>
        <v/>
      </c>
      <c r="BM44" s="38" t="str">
        <f t="shared" si="8"/>
        <v/>
      </c>
      <c r="BN44" s="38" t="str">
        <f t="shared" si="9"/>
        <v/>
      </c>
      <c r="BO44" s="38" t="str">
        <f t="shared" si="10"/>
        <v/>
      </c>
      <c r="BP44" s="38" t="str">
        <f t="shared" si="11"/>
        <v/>
      </c>
      <c r="BQ44" s="38" t="str">
        <f t="shared" si="12"/>
        <v/>
      </c>
    </row>
    <row r="45" spans="1:69" ht="15.6" x14ac:dyDescent="0.3">
      <c r="A45" s="16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62"/>
      <c r="Z45" s="111"/>
      <c r="AA45" s="112"/>
      <c r="AB45" s="113" t="str">
        <f>+AB44</f>
        <v>-</v>
      </c>
      <c r="AC45" s="112"/>
      <c r="AD45" s="114"/>
      <c r="AE45" s="115"/>
      <c r="AF45" s="115"/>
      <c r="AG45" s="116"/>
      <c r="AH45" s="117"/>
      <c r="AI45" s="117"/>
      <c r="AJ45" s="342"/>
      <c r="AK45" s="343"/>
      <c r="AL45" s="346"/>
      <c r="AM45" s="347"/>
      <c r="AN45" s="118"/>
      <c r="AO45" s="101" t="str">
        <f t="shared" si="19"/>
        <v/>
      </c>
      <c r="AP45" s="113" t="str">
        <f t="shared" si="20"/>
        <v>-</v>
      </c>
      <c r="AQ45" s="119"/>
      <c r="AR45" s="103" t="str">
        <f t="shared" si="21"/>
        <v/>
      </c>
      <c r="AY45" s="38" t="str">
        <f t="shared" si="1"/>
        <v/>
      </c>
      <c r="AZ45" s="38" t="str">
        <f t="shared" si="2"/>
        <v>0</v>
      </c>
      <c r="BA45" s="38" t="str">
        <f t="shared" si="3"/>
        <v>0</v>
      </c>
      <c r="BB45" s="38" t="str">
        <f t="shared" si="4"/>
        <v>0</v>
      </c>
      <c r="BC45" s="38">
        <f t="shared" si="5"/>
        <v>0</v>
      </c>
      <c r="BD45" s="38">
        <f t="shared" si="6"/>
        <v>0</v>
      </c>
      <c r="BL45" s="38" t="str">
        <f t="shared" si="7"/>
        <v/>
      </c>
      <c r="BM45" s="38" t="str">
        <f t="shared" si="8"/>
        <v/>
      </c>
      <c r="BN45" s="38" t="str">
        <f t="shared" si="9"/>
        <v/>
      </c>
      <c r="BO45" s="38" t="str">
        <f t="shared" si="10"/>
        <v/>
      </c>
      <c r="BP45" s="38" t="str">
        <f t="shared" si="11"/>
        <v/>
      </c>
      <c r="BQ45" s="38" t="str">
        <f t="shared" si="12"/>
        <v/>
      </c>
    </row>
    <row r="46" spans="1:69" ht="16.2" thickBot="1" x14ac:dyDescent="0.35">
      <c r="A46" s="163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64"/>
      <c r="Z46" s="165"/>
      <c r="AA46" s="166"/>
      <c r="AB46" s="167" t="str">
        <f>+AB45</f>
        <v>-</v>
      </c>
      <c r="AC46" s="166"/>
      <c r="AD46" s="168"/>
      <c r="AE46" s="169"/>
      <c r="AF46" s="169"/>
      <c r="AG46" s="170"/>
      <c r="AH46" s="171"/>
      <c r="AI46" s="171"/>
      <c r="AJ46" s="344"/>
      <c r="AK46" s="345"/>
      <c r="AL46" s="352"/>
      <c r="AM46" s="353"/>
      <c r="AN46" s="172"/>
      <c r="AO46" s="101" t="str">
        <f t="shared" si="19"/>
        <v/>
      </c>
      <c r="AP46" s="113" t="str">
        <f t="shared" si="20"/>
        <v>-</v>
      </c>
      <c r="AQ46" s="119"/>
      <c r="AR46" s="103" t="str">
        <f t="shared" si="21"/>
        <v/>
      </c>
      <c r="AY46" s="38" t="str">
        <f t="shared" si="1"/>
        <v/>
      </c>
      <c r="AZ46" s="38" t="str">
        <f t="shared" si="2"/>
        <v>0</v>
      </c>
      <c r="BA46" s="38" t="str">
        <f t="shared" si="3"/>
        <v>0</v>
      </c>
      <c r="BB46" s="38" t="str">
        <f t="shared" si="4"/>
        <v>0</v>
      </c>
      <c r="BC46" s="38">
        <f t="shared" si="5"/>
        <v>0</v>
      </c>
      <c r="BD46" s="38">
        <f t="shared" si="6"/>
        <v>0</v>
      </c>
      <c r="BL46" s="38" t="str">
        <f t="shared" si="7"/>
        <v/>
      </c>
      <c r="BM46" s="38" t="str">
        <f t="shared" si="8"/>
        <v/>
      </c>
      <c r="BN46" s="38" t="str">
        <f t="shared" si="9"/>
        <v/>
      </c>
      <c r="BO46" s="38" t="str">
        <f t="shared" si="10"/>
        <v/>
      </c>
      <c r="BP46" s="38" t="str">
        <f t="shared" si="11"/>
        <v/>
      </c>
      <c r="BQ46" s="38" t="str">
        <f t="shared" si="12"/>
        <v/>
      </c>
    </row>
    <row r="47" spans="1:69" ht="18.600000000000001" thickBot="1" x14ac:dyDescent="0.35">
      <c r="A47" s="173" t="s">
        <v>69</v>
      </c>
      <c r="B47" s="174"/>
      <c r="C47" s="174"/>
      <c r="D47" s="174"/>
      <c r="E47" s="174"/>
      <c r="F47" s="174"/>
      <c r="G47" s="174">
        <f>IF(AO52&gt;AR52,AO52,IF(AO52=AR52,AO52,AR52))</f>
        <v>3</v>
      </c>
      <c r="H47" s="175" t="s">
        <v>16</v>
      </c>
      <c r="I47" s="174">
        <f>IF(AO52&gt;AR52,AR52,IF(AO52=AR52,AR52,AO52))</f>
        <v>2</v>
      </c>
      <c r="J47" s="174"/>
      <c r="K47" s="174" t="s">
        <v>70</v>
      </c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6" t="str">
        <f>BE52</f>
        <v>BLAUW</v>
      </c>
      <c r="W47" s="174"/>
      <c r="X47" s="174"/>
      <c r="Y47" s="174"/>
      <c r="Z47" s="174"/>
      <c r="AA47" s="174"/>
      <c r="AB47" s="174"/>
      <c r="AC47" s="174"/>
      <c r="AD47" s="177"/>
      <c r="AE47" s="178" t="s">
        <v>71</v>
      </c>
      <c r="AF47" s="179"/>
      <c r="AG47" s="179"/>
      <c r="AH47" s="179"/>
      <c r="AI47" s="179"/>
      <c r="AJ47" s="174"/>
      <c r="AK47" s="174"/>
      <c r="AL47" s="403" t="s">
        <v>177</v>
      </c>
      <c r="AM47" s="404"/>
      <c r="AN47" s="404"/>
      <c r="AO47" s="404"/>
      <c r="AP47" s="404"/>
      <c r="AQ47" s="404"/>
      <c r="AR47" s="405"/>
    </row>
    <row r="48" spans="1:69" x14ac:dyDescent="0.3">
      <c r="A48" s="180" t="s">
        <v>72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2"/>
      <c r="P48" s="183" t="s">
        <v>72</v>
      </c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2"/>
      <c r="AC48" s="181"/>
      <c r="AD48" s="184"/>
      <c r="AE48" s="185" t="s">
        <v>72</v>
      </c>
      <c r="AF48" s="186"/>
      <c r="AG48" s="186"/>
      <c r="AH48" s="186"/>
      <c r="AI48" s="186"/>
      <c r="AJ48" s="181"/>
      <c r="AK48" s="181"/>
      <c r="AL48" s="181"/>
      <c r="AM48" s="181"/>
      <c r="AN48" s="181"/>
      <c r="AO48" s="186"/>
      <c r="AP48" s="181"/>
      <c r="AQ48" s="181"/>
      <c r="AR48" s="187"/>
    </row>
    <row r="49" spans="1:57" x14ac:dyDescent="0.3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/>
      <c r="P49" s="191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90"/>
      <c r="AC49" s="189"/>
      <c r="AD49" s="192"/>
      <c r="AE49" s="193"/>
      <c r="AF49" s="193"/>
      <c r="AG49" s="193"/>
      <c r="AH49" s="193"/>
      <c r="AI49" s="193"/>
      <c r="AJ49" s="189"/>
      <c r="AK49" s="189"/>
      <c r="AL49" s="189"/>
      <c r="AM49" s="189"/>
      <c r="AN49" s="189"/>
      <c r="AO49" s="193"/>
      <c r="AP49" s="189"/>
      <c r="AQ49" s="189"/>
      <c r="AR49" s="194"/>
    </row>
    <row r="50" spans="1:57" ht="14.4" thickBot="1" x14ac:dyDescent="0.3">
      <c r="A50" s="195" t="s">
        <v>73</v>
      </c>
      <c r="B50" s="196"/>
      <c r="C50" s="196"/>
      <c r="D50" s="196"/>
      <c r="E50" s="196"/>
      <c r="F50" s="196"/>
      <c r="G50" s="196"/>
      <c r="H50" s="197" t="s">
        <v>74</v>
      </c>
      <c r="I50" s="196"/>
      <c r="J50" s="196"/>
      <c r="K50" s="196"/>
      <c r="L50" s="196"/>
      <c r="M50" s="196"/>
      <c r="N50" s="196"/>
      <c r="O50" s="198"/>
      <c r="P50" s="199" t="s">
        <v>73</v>
      </c>
      <c r="Q50" s="196"/>
      <c r="R50" s="196"/>
      <c r="S50" s="196"/>
      <c r="T50" s="196"/>
      <c r="U50" s="196"/>
      <c r="V50" s="196"/>
      <c r="W50" s="197" t="s">
        <v>75</v>
      </c>
      <c r="X50" s="196"/>
      <c r="Y50" s="196"/>
      <c r="Z50" s="196"/>
      <c r="AA50" s="196"/>
      <c r="AB50" s="198"/>
      <c r="AC50" s="196"/>
      <c r="AD50" s="200"/>
      <c r="AE50" s="201" t="s">
        <v>25</v>
      </c>
      <c r="AF50" s="202"/>
      <c r="AG50" s="202"/>
      <c r="AH50" s="202"/>
      <c r="AI50" s="202"/>
      <c r="AJ50" s="203"/>
      <c r="AK50" s="203"/>
      <c r="AL50" s="203"/>
      <c r="AM50" s="203"/>
      <c r="AN50" s="203"/>
      <c r="AO50" s="202"/>
      <c r="AP50" s="203"/>
      <c r="AQ50" s="203"/>
      <c r="AR50" s="204"/>
    </row>
    <row r="52" spans="1:57" hidden="1" x14ac:dyDescent="0.3">
      <c r="AO52" s="40">
        <f>IF(AO13="","",MAX(AO13:AO46))</f>
        <v>2</v>
      </c>
      <c r="AR52" s="40">
        <f>IF(AR13="","",MAX(AR13:AR46))</f>
        <v>3</v>
      </c>
      <c r="AS52" s="38" t="str">
        <f>IF(AO13="","0","1")</f>
        <v>1</v>
      </c>
      <c r="BE52" s="38" t="str">
        <f>IF(AS52="0","WIT/BLAUW",IF(AO52&gt;AR52,"WIT",IF(AO52=AR52,"GELIJK","BLAUW")))</f>
        <v>BLAUW</v>
      </c>
    </row>
  </sheetData>
  <sheetProtection sheet="1" objects="1" scenarios="1"/>
  <mergeCells count="107">
    <mergeCell ref="B14:C14"/>
    <mergeCell ref="B15:C15"/>
    <mergeCell ref="B16:C16"/>
    <mergeCell ref="AJ17:AK17"/>
    <mergeCell ref="G4:I4"/>
    <mergeCell ref="K4:M4"/>
    <mergeCell ref="AH6:AR6"/>
    <mergeCell ref="F10:Y12"/>
    <mergeCell ref="Z10:AD12"/>
    <mergeCell ref="AJ10:AK12"/>
    <mergeCell ref="AL10:AM12"/>
    <mergeCell ref="AN10:AR11"/>
    <mergeCell ref="A11:D12"/>
    <mergeCell ref="AN12:AO12"/>
    <mergeCell ref="AQ12:AR12"/>
    <mergeCell ref="B30:C30"/>
    <mergeCell ref="B18:C18"/>
    <mergeCell ref="B19:C19"/>
    <mergeCell ref="B20:C20"/>
    <mergeCell ref="B21:C21"/>
    <mergeCell ref="B22:C22"/>
    <mergeCell ref="B23:C23"/>
    <mergeCell ref="AJ18:AK18"/>
    <mergeCell ref="AJ19:AK19"/>
    <mergeCell ref="AJ20:AK20"/>
    <mergeCell ref="AJ21:AK21"/>
    <mergeCell ref="AJ29:AK29"/>
    <mergeCell ref="AJ30:AK30"/>
    <mergeCell ref="B37:C37"/>
    <mergeCell ref="B38:C38"/>
    <mergeCell ref="B39:C39"/>
    <mergeCell ref="I40:J40"/>
    <mergeCell ref="B31:C31"/>
    <mergeCell ref="B32:C32"/>
    <mergeCell ref="B33:C33"/>
    <mergeCell ref="B34:C34"/>
    <mergeCell ref="B35:C35"/>
    <mergeCell ref="B36:C36"/>
    <mergeCell ref="AL26:AM26"/>
    <mergeCell ref="AL17:AM17"/>
    <mergeCell ref="AL18:AM18"/>
    <mergeCell ref="AL19:AM19"/>
    <mergeCell ref="AL20:AM20"/>
    <mergeCell ref="AL21:AM21"/>
    <mergeCell ref="D3:N3"/>
    <mergeCell ref="AL13:AM13"/>
    <mergeCell ref="AL14:AM14"/>
    <mergeCell ref="AL15:AM15"/>
    <mergeCell ref="AL16:AM16"/>
    <mergeCell ref="AJ13:AK13"/>
    <mergeCell ref="AJ14:AK14"/>
    <mergeCell ref="AJ15:AK15"/>
    <mergeCell ref="AJ16:AK16"/>
    <mergeCell ref="I24:J24"/>
    <mergeCell ref="F25:Y28"/>
    <mergeCell ref="A26:D28"/>
    <mergeCell ref="AL27:AM27"/>
    <mergeCell ref="AL28:AM28"/>
    <mergeCell ref="AJ27:AK27"/>
    <mergeCell ref="AJ28:AK28"/>
    <mergeCell ref="B17:C17"/>
    <mergeCell ref="D4:E4"/>
    <mergeCell ref="BF4:BI6"/>
    <mergeCell ref="AL47:AR47"/>
    <mergeCell ref="AL44:AM44"/>
    <mergeCell ref="AL45:AM45"/>
    <mergeCell ref="AL46:AM46"/>
    <mergeCell ref="AL39:AM39"/>
    <mergeCell ref="AL40:AM40"/>
    <mergeCell ref="AL41:AM41"/>
    <mergeCell ref="AL42:AM42"/>
    <mergeCell ref="AL43:AM43"/>
    <mergeCell ref="AL34:AM34"/>
    <mergeCell ref="AL35:AM35"/>
    <mergeCell ref="AL36:AM36"/>
    <mergeCell ref="AL37:AM37"/>
    <mergeCell ref="AL38:AM38"/>
    <mergeCell ref="AL29:AM29"/>
    <mergeCell ref="AL30:AM30"/>
    <mergeCell ref="AL31:AM31"/>
    <mergeCell ref="AL32:AM32"/>
    <mergeCell ref="AL33:AM33"/>
    <mergeCell ref="AL22:AM22"/>
    <mergeCell ref="AL23:AM23"/>
    <mergeCell ref="AL24:AM24"/>
    <mergeCell ref="AL25:AM25"/>
    <mergeCell ref="AJ31:AK31"/>
    <mergeCell ref="AJ32:AK32"/>
    <mergeCell ref="AJ33:AK33"/>
    <mergeCell ref="AJ22:AK22"/>
    <mergeCell ref="AJ23:AK23"/>
    <mergeCell ref="AJ24:AK24"/>
    <mergeCell ref="AJ25:AK25"/>
    <mergeCell ref="AJ26:AK26"/>
    <mergeCell ref="AJ44:AK44"/>
    <mergeCell ref="AJ45:AK45"/>
    <mergeCell ref="AJ46:AK46"/>
    <mergeCell ref="AJ39:AK39"/>
    <mergeCell ref="AJ40:AK40"/>
    <mergeCell ref="AJ41:AK41"/>
    <mergeCell ref="AJ42:AK42"/>
    <mergeCell ref="AJ43:AK43"/>
    <mergeCell ref="AJ34:AK34"/>
    <mergeCell ref="AJ35:AK35"/>
    <mergeCell ref="AJ36:AK36"/>
    <mergeCell ref="AJ37:AK37"/>
    <mergeCell ref="AJ38:AK38"/>
  </mergeCells>
  <dataValidations count="1">
    <dataValidation type="list" allowBlank="1" showInputMessage="1" showErrorMessage="1" sqref="AL47:AR47" xr:uid="{D9A92BF1-98A6-4133-B03E-4FFFE440B0C9}">
      <formula1>"JA/NEE,JA,NEE"</formula1>
    </dataValidation>
  </dataValidations>
  <hyperlinks>
    <hyperlink ref="BF4:BI6" location="Wedstrijden!A1" display="Wedstrijdschema" xr:uid="{75E79783-2C4B-44ED-AB47-BD4E9CD3E7E9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/>
  <dimension ref="A1:IV52"/>
  <sheetViews>
    <sheetView workbookViewId="0">
      <selection activeCell="BF4" sqref="BF4:BI6"/>
    </sheetView>
  </sheetViews>
  <sheetFormatPr defaultRowHeight="13.8" x14ac:dyDescent="0.3"/>
  <cols>
    <col min="1" max="6" width="2.33203125" style="38" customWidth="1"/>
    <col min="7" max="7" width="3.33203125" style="38" customWidth="1"/>
    <col min="8" max="8" width="2.33203125" style="38" customWidth="1"/>
    <col min="9" max="9" width="3.33203125" style="38" customWidth="1"/>
    <col min="10" max="25" width="2.33203125" style="38" customWidth="1"/>
    <col min="26" max="28" width="2.109375" style="38" customWidth="1"/>
    <col min="29" max="29" width="3" style="38" customWidth="1"/>
    <col min="30" max="30" width="2.109375" style="39" customWidth="1"/>
    <col min="31" max="35" width="2.33203125" style="40" customWidth="1"/>
    <col min="36" max="39" width="2.33203125" style="38" customWidth="1"/>
    <col min="40" max="40" width="2.109375" style="38" customWidth="1"/>
    <col min="41" max="41" width="3.33203125" style="40" customWidth="1"/>
    <col min="42" max="43" width="2.109375" style="38" customWidth="1"/>
    <col min="44" max="44" width="3.33203125" style="40" customWidth="1"/>
    <col min="45" max="45" width="9.109375" style="38"/>
    <col min="46" max="56" width="9.109375" style="38" hidden="1" customWidth="1"/>
    <col min="57" max="62" width="9.109375" style="38"/>
    <col min="63" max="69" width="0" style="38" hidden="1" customWidth="1"/>
    <col min="70" max="256" width="9.109375" style="38"/>
    <col min="257" max="281" width="2.33203125" style="38" customWidth="1"/>
    <col min="282" max="286" width="2.109375" style="38" customWidth="1"/>
    <col min="287" max="295" width="2.33203125" style="38" customWidth="1"/>
    <col min="296" max="300" width="2.109375" style="38" customWidth="1"/>
    <col min="301" max="512" width="9.109375" style="38"/>
    <col min="513" max="537" width="2.33203125" style="38" customWidth="1"/>
    <col min="538" max="542" width="2.109375" style="38" customWidth="1"/>
    <col min="543" max="551" width="2.33203125" style="38" customWidth="1"/>
    <col min="552" max="556" width="2.109375" style="38" customWidth="1"/>
    <col min="557" max="768" width="9.109375" style="38"/>
    <col min="769" max="793" width="2.33203125" style="38" customWidth="1"/>
    <col min="794" max="798" width="2.109375" style="38" customWidth="1"/>
    <col min="799" max="807" width="2.33203125" style="38" customWidth="1"/>
    <col min="808" max="812" width="2.109375" style="38" customWidth="1"/>
    <col min="813" max="1024" width="9.109375" style="38"/>
    <col min="1025" max="1049" width="2.33203125" style="38" customWidth="1"/>
    <col min="1050" max="1054" width="2.109375" style="38" customWidth="1"/>
    <col min="1055" max="1063" width="2.33203125" style="38" customWidth="1"/>
    <col min="1064" max="1068" width="2.109375" style="38" customWidth="1"/>
    <col min="1069" max="1280" width="9.109375" style="38"/>
    <col min="1281" max="1305" width="2.33203125" style="38" customWidth="1"/>
    <col min="1306" max="1310" width="2.109375" style="38" customWidth="1"/>
    <col min="1311" max="1319" width="2.33203125" style="38" customWidth="1"/>
    <col min="1320" max="1324" width="2.109375" style="38" customWidth="1"/>
    <col min="1325" max="1536" width="9.109375" style="38"/>
    <col min="1537" max="1561" width="2.33203125" style="38" customWidth="1"/>
    <col min="1562" max="1566" width="2.109375" style="38" customWidth="1"/>
    <col min="1567" max="1575" width="2.33203125" style="38" customWidth="1"/>
    <col min="1576" max="1580" width="2.109375" style="38" customWidth="1"/>
    <col min="1581" max="1792" width="9.109375" style="38"/>
    <col min="1793" max="1817" width="2.33203125" style="38" customWidth="1"/>
    <col min="1818" max="1822" width="2.109375" style="38" customWidth="1"/>
    <col min="1823" max="1831" width="2.33203125" style="38" customWidth="1"/>
    <col min="1832" max="1836" width="2.109375" style="38" customWidth="1"/>
    <col min="1837" max="2048" width="9.109375" style="38"/>
    <col min="2049" max="2073" width="2.33203125" style="38" customWidth="1"/>
    <col min="2074" max="2078" width="2.109375" style="38" customWidth="1"/>
    <col min="2079" max="2087" width="2.33203125" style="38" customWidth="1"/>
    <col min="2088" max="2092" width="2.109375" style="38" customWidth="1"/>
    <col min="2093" max="2304" width="9.109375" style="38"/>
    <col min="2305" max="2329" width="2.33203125" style="38" customWidth="1"/>
    <col min="2330" max="2334" width="2.109375" style="38" customWidth="1"/>
    <col min="2335" max="2343" width="2.33203125" style="38" customWidth="1"/>
    <col min="2344" max="2348" width="2.109375" style="38" customWidth="1"/>
    <col min="2349" max="2560" width="9.109375" style="38"/>
    <col min="2561" max="2585" width="2.33203125" style="38" customWidth="1"/>
    <col min="2586" max="2590" width="2.109375" style="38" customWidth="1"/>
    <col min="2591" max="2599" width="2.33203125" style="38" customWidth="1"/>
    <col min="2600" max="2604" width="2.109375" style="38" customWidth="1"/>
    <col min="2605" max="2816" width="9.109375" style="38"/>
    <col min="2817" max="2841" width="2.33203125" style="38" customWidth="1"/>
    <col min="2842" max="2846" width="2.109375" style="38" customWidth="1"/>
    <col min="2847" max="2855" width="2.33203125" style="38" customWidth="1"/>
    <col min="2856" max="2860" width="2.109375" style="38" customWidth="1"/>
    <col min="2861" max="3072" width="9.109375" style="38"/>
    <col min="3073" max="3097" width="2.33203125" style="38" customWidth="1"/>
    <col min="3098" max="3102" width="2.109375" style="38" customWidth="1"/>
    <col min="3103" max="3111" width="2.33203125" style="38" customWidth="1"/>
    <col min="3112" max="3116" width="2.109375" style="38" customWidth="1"/>
    <col min="3117" max="3328" width="9.109375" style="38"/>
    <col min="3329" max="3353" width="2.33203125" style="38" customWidth="1"/>
    <col min="3354" max="3358" width="2.109375" style="38" customWidth="1"/>
    <col min="3359" max="3367" width="2.33203125" style="38" customWidth="1"/>
    <col min="3368" max="3372" width="2.109375" style="38" customWidth="1"/>
    <col min="3373" max="3584" width="9.109375" style="38"/>
    <col min="3585" max="3609" width="2.33203125" style="38" customWidth="1"/>
    <col min="3610" max="3614" width="2.109375" style="38" customWidth="1"/>
    <col min="3615" max="3623" width="2.33203125" style="38" customWidth="1"/>
    <col min="3624" max="3628" width="2.109375" style="38" customWidth="1"/>
    <col min="3629" max="3840" width="9.109375" style="38"/>
    <col min="3841" max="3865" width="2.33203125" style="38" customWidth="1"/>
    <col min="3866" max="3870" width="2.109375" style="38" customWidth="1"/>
    <col min="3871" max="3879" width="2.33203125" style="38" customWidth="1"/>
    <col min="3880" max="3884" width="2.109375" style="38" customWidth="1"/>
    <col min="3885" max="4096" width="9.109375" style="38"/>
    <col min="4097" max="4121" width="2.33203125" style="38" customWidth="1"/>
    <col min="4122" max="4126" width="2.109375" style="38" customWidth="1"/>
    <col min="4127" max="4135" width="2.33203125" style="38" customWidth="1"/>
    <col min="4136" max="4140" width="2.109375" style="38" customWidth="1"/>
    <col min="4141" max="4352" width="9.109375" style="38"/>
    <col min="4353" max="4377" width="2.33203125" style="38" customWidth="1"/>
    <col min="4378" max="4382" width="2.109375" style="38" customWidth="1"/>
    <col min="4383" max="4391" width="2.33203125" style="38" customWidth="1"/>
    <col min="4392" max="4396" width="2.109375" style="38" customWidth="1"/>
    <col min="4397" max="4608" width="9.109375" style="38"/>
    <col min="4609" max="4633" width="2.33203125" style="38" customWidth="1"/>
    <col min="4634" max="4638" width="2.109375" style="38" customWidth="1"/>
    <col min="4639" max="4647" width="2.33203125" style="38" customWidth="1"/>
    <col min="4648" max="4652" width="2.109375" style="38" customWidth="1"/>
    <col min="4653" max="4864" width="9.109375" style="38"/>
    <col min="4865" max="4889" width="2.33203125" style="38" customWidth="1"/>
    <col min="4890" max="4894" width="2.109375" style="38" customWidth="1"/>
    <col min="4895" max="4903" width="2.33203125" style="38" customWidth="1"/>
    <col min="4904" max="4908" width="2.109375" style="38" customWidth="1"/>
    <col min="4909" max="5120" width="9.109375" style="38"/>
    <col min="5121" max="5145" width="2.33203125" style="38" customWidth="1"/>
    <col min="5146" max="5150" width="2.109375" style="38" customWidth="1"/>
    <col min="5151" max="5159" width="2.33203125" style="38" customWidth="1"/>
    <col min="5160" max="5164" width="2.109375" style="38" customWidth="1"/>
    <col min="5165" max="5376" width="9.109375" style="38"/>
    <col min="5377" max="5401" width="2.33203125" style="38" customWidth="1"/>
    <col min="5402" max="5406" width="2.109375" style="38" customWidth="1"/>
    <col min="5407" max="5415" width="2.33203125" style="38" customWidth="1"/>
    <col min="5416" max="5420" width="2.109375" style="38" customWidth="1"/>
    <col min="5421" max="5632" width="9.109375" style="38"/>
    <col min="5633" max="5657" width="2.33203125" style="38" customWidth="1"/>
    <col min="5658" max="5662" width="2.109375" style="38" customWidth="1"/>
    <col min="5663" max="5671" width="2.33203125" style="38" customWidth="1"/>
    <col min="5672" max="5676" width="2.109375" style="38" customWidth="1"/>
    <col min="5677" max="5888" width="9.109375" style="38"/>
    <col min="5889" max="5913" width="2.33203125" style="38" customWidth="1"/>
    <col min="5914" max="5918" width="2.109375" style="38" customWidth="1"/>
    <col min="5919" max="5927" width="2.33203125" style="38" customWidth="1"/>
    <col min="5928" max="5932" width="2.109375" style="38" customWidth="1"/>
    <col min="5933" max="6144" width="9.109375" style="38"/>
    <col min="6145" max="6169" width="2.33203125" style="38" customWidth="1"/>
    <col min="6170" max="6174" width="2.109375" style="38" customWidth="1"/>
    <col min="6175" max="6183" width="2.33203125" style="38" customWidth="1"/>
    <col min="6184" max="6188" width="2.109375" style="38" customWidth="1"/>
    <col min="6189" max="6400" width="9.109375" style="38"/>
    <col min="6401" max="6425" width="2.33203125" style="38" customWidth="1"/>
    <col min="6426" max="6430" width="2.109375" style="38" customWidth="1"/>
    <col min="6431" max="6439" width="2.33203125" style="38" customWidth="1"/>
    <col min="6440" max="6444" width="2.109375" style="38" customWidth="1"/>
    <col min="6445" max="6656" width="9.109375" style="38"/>
    <col min="6657" max="6681" width="2.33203125" style="38" customWidth="1"/>
    <col min="6682" max="6686" width="2.109375" style="38" customWidth="1"/>
    <col min="6687" max="6695" width="2.33203125" style="38" customWidth="1"/>
    <col min="6696" max="6700" width="2.109375" style="38" customWidth="1"/>
    <col min="6701" max="6912" width="9.109375" style="38"/>
    <col min="6913" max="6937" width="2.33203125" style="38" customWidth="1"/>
    <col min="6938" max="6942" width="2.109375" style="38" customWidth="1"/>
    <col min="6943" max="6951" width="2.33203125" style="38" customWidth="1"/>
    <col min="6952" max="6956" width="2.109375" style="38" customWidth="1"/>
    <col min="6957" max="7168" width="9.109375" style="38"/>
    <col min="7169" max="7193" width="2.33203125" style="38" customWidth="1"/>
    <col min="7194" max="7198" width="2.109375" style="38" customWidth="1"/>
    <col min="7199" max="7207" width="2.33203125" style="38" customWidth="1"/>
    <col min="7208" max="7212" width="2.109375" style="38" customWidth="1"/>
    <col min="7213" max="7424" width="9.109375" style="38"/>
    <col min="7425" max="7449" width="2.33203125" style="38" customWidth="1"/>
    <col min="7450" max="7454" width="2.109375" style="38" customWidth="1"/>
    <col min="7455" max="7463" width="2.33203125" style="38" customWidth="1"/>
    <col min="7464" max="7468" width="2.109375" style="38" customWidth="1"/>
    <col min="7469" max="7680" width="9.109375" style="38"/>
    <col min="7681" max="7705" width="2.33203125" style="38" customWidth="1"/>
    <col min="7706" max="7710" width="2.109375" style="38" customWidth="1"/>
    <col min="7711" max="7719" width="2.33203125" style="38" customWidth="1"/>
    <col min="7720" max="7724" width="2.109375" style="38" customWidth="1"/>
    <col min="7725" max="7936" width="9.109375" style="38"/>
    <col min="7937" max="7961" width="2.33203125" style="38" customWidth="1"/>
    <col min="7962" max="7966" width="2.109375" style="38" customWidth="1"/>
    <col min="7967" max="7975" width="2.33203125" style="38" customWidth="1"/>
    <col min="7976" max="7980" width="2.109375" style="38" customWidth="1"/>
    <col min="7981" max="8192" width="9.109375" style="38"/>
    <col min="8193" max="8217" width="2.33203125" style="38" customWidth="1"/>
    <col min="8218" max="8222" width="2.109375" style="38" customWidth="1"/>
    <col min="8223" max="8231" width="2.33203125" style="38" customWidth="1"/>
    <col min="8232" max="8236" width="2.109375" style="38" customWidth="1"/>
    <col min="8237" max="8448" width="9.109375" style="38"/>
    <col min="8449" max="8473" width="2.33203125" style="38" customWidth="1"/>
    <col min="8474" max="8478" width="2.109375" style="38" customWidth="1"/>
    <col min="8479" max="8487" width="2.33203125" style="38" customWidth="1"/>
    <col min="8488" max="8492" width="2.109375" style="38" customWidth="1"/>
    <col min="8493" max="8704" width="9.109375" style="38"/>
    <col min="8705" max="8729" width="2.33203125" style="38" customWidth="1"/>
    <col min="8730" max="8734" width="2.109375" style="38" customWidth="1"/>
    <col min="8735" max="8743" width="2.33203125" style="38" customWidth="1"/>
    <col min="8744" max="8748" width="2.109375" style="38" customWidth="1"/>
    <col min="8749" max="8960" width="9.109375" style="38"/>
    <col min="8961" max="8985" width="2.33203125" style="38" customWidth="1"/>
    <col min="8986" max="8990" width="2.109375" style="38" customWidth="1"/>
    <col min="8991" max="8999" width="2.33203125" style="38" customWidth="1"/>
    <col min="9000" max="9004" width="2.109375" style="38" customWidth="1"/>
    <col min="9005" max="9216" width="9.109375" style="38"/>
    <col min="9217" max="9241" width="2.33203125" style="38" customWidth="1"/>
    <col min="9242" max="9246" width="2.109375" style="38" customWidth="1"/>
    <col min="9247" max="9255" width="2.33203125" style="38" customWidth="1"/>
    <col min="9256" max="9260" width="2.109375" style="38" customWidth="1"/>
    <col min="9261" max="9472" width="9.109375" style="38"/>
    <col min="9473" max="9497" width="2.33203125" style="38" customWidth="1"/>
    <col min="9498" max="9502" width="2.109375" style="38" customWidth="1"/>
    <col min="9503" max="9511" width="2.33203125" style="38" customWidth="1"/>
    <col min="9512" max="9516" width="2.109375" style="38" customWidth="1"/>
    <col min="9517" max="9728" width="9.109375" style="38"/>
    <col min="9729" max="9753" width="2.33203125" style="38" customWidth="1"/>
    <col min="9754" max="9758" width="2.109375" style="38" customWidth="1"/>
    <col min="9759" max="9767" width="2.33203125" style="38" customWidth="1"/>
    <col min="9768" max="9772" width="2.109375" style="38" customWidth="1"/>
    <col min="9773" max="9984" width="9.109375" style="38"/>
    <col min="9985" max="10009" width="2.33203125" style="38" customWidth="1"/>
    <col min="10010" max="10014" width="2.109375" style="38" customWidth="1"/>
    <col min="10015" max="10023" width="2.33203125" style="38" customWidth="1"/>
    <col min="10024" max="10028" width="2.109375" style="38" customWidth="1"/>
    <col min="10029" max="10240" width="9.109375" style="38"/>
    <col min="10241" max="10265" width="2.33203125" style="38" customWidth="1"/>
    <col min="10266" max="10270" width="2.109375" style="38" customWidth="1"/>
    <col min="10271" max="10279" width="2.33203125" style="38" customWidth="1"/>
    <col min="10280" max="10284" width="2.109375" style="38" customWidth="1"/>
    <col min="10285" max="10496" width="9.109375" style="38"/>
    <col min="10497" max="10521" width="2.33203125" style="38" customWidth="1"/>
    <col min="10522" max="10526" width="2.109375" style="38" customWidth="1"/>
    <col min="10527" max="10535" width="2.33203125" style="38" customWidth="1"/>
    <col min="10536" max="10540" width="2.109375" style="38" customWidth="1"/>
    <col min="10541" max="10752" width="9.109375" style="38"/>
    <col min="10753" max="10777" width="2.33203125" style="38" customWidth="1"/>
    <col min="10778" max="10782" width="2.109375" style="38" customWidth="1"/>
    <col min="10783" max="10791" width="2.33203125" style="38" customWidth="1"/>
    <col min="10792" max="10796" width="2.109375" style="38" customWidth="1"/>
    <col min="10797" max="11008" width="9.109375" style="38"/>
    <col min="11009" max="11033" width="2.33203125" style="38" customWidth="1"/>
    <col min="11034" max="11038" width="2.109375" style="38" customWidth="1"/>
    <col min="11039" max="11047" width="2.33203125" style="38" customWidth="1"/>
    <col min="11048" max="11052" width="2.109375" style="38" customWidth="1"/>
    <col min="11053" max="11264" width="9.109375" style="38"/>
    <col min="11265" max="11289" width="2.33203125" style="38" customWidth="1"/>
    <col min="11290" max="11294" width="2.109375" style="38" customWidth="1"/>
    <col min="11295" max="11303" width="2.33203125" style="38" customWidth="1"/>
    <col min="11304" max="11308" width="2.109375" style="38" customWidth="1"/>
    <col min="11309" max="11520" width="9.109375" style="38"/>
    <col min="11521" max="11545" width="2.33203125" style="38" customWidth="1"/>
    <col min="11546" max="11550" width="2.109375" style="38" customWidth="1"/>
    <col min="11551" max="11559" width="2.33203125" style="38" customWidth="1"/>
    <col min="11560" max="11564" width="2.109375" style="38" customWidth="1"/>
    <col min="11565" max="11776" width="9.109375" style="38"/>
    <col min="11777" max="11801" width="2.33203125" style="38" customWidth="1"/>
    <col min="11802" max="11806" width="2.109375" style="38" customWidth="1"/>
    <col min="11807" max="11815" width="2.33203125" style="38" customWidth="1"/>
    <col min="11816" max="11820" width="2.109375" style="38" customWidth="1"/>
    <col min="11821" max="12032" width="9.109375" style="38"/>
    <col min="12033" max="12057" width="2.33203125" style="38" customWidth="1"/>
    <col min="12058" max="12062" width="2.109375" style="38" customWidth="1"/>
    <col min="12063" max="12071" width="2.33203125" style="38" customWidth="1"/>
    <col min="12072" max="12076" width="2.109375" style="38" customWidth="1"/>
    <col min="12077" max="12288" width="9.109375" style="38"/>
    <col min="12289" max="12313" width="2.33203125" style="38" customWidth="1"/>
    <col min="12314" max="12318" width="2.109375" style="38" customWidth="1"/>
    <col min="12319" max="12327" width="2.33203125" style="38" customWidth="1"/>
    <col min="12328" max="12332" width="2.109375" style="38" customWidth="1"/>
    <col min="12333" max="12544" width="9.109375" style="38"/>
    <col min="12545" max="12569" width="2.33203125" style="38" customWidth="1"/>
    <col min="12570" max="12574" width="2.109375" style="38" customWidth="1"/>
    <col min="12575" max="12583" width="2.33203125" style="38" customWidth="1"/>
    <col min="12584" max="12588" width="2.109375" style="38" customWidth="1"/>
    <col min="12589" max="12800" width="9.109375" style="38"/>
    <col min="12801" max="12825" width="2.33203125" style="38" customWidth="1"/>
    <col min="12826" max="12830" width="2.109375" style="38" customWidth="1"/>
    <col min="12831" max="12839" width="2.33203125" style="38" customWidth="1"/>
    <col min="12840" max="12844" width="2.109375" style="38" customWidth="1"/>
    <col min="12845" max="13056" width="9.109375" style="38"/>
    <col min="13057" max="13081" width="2.33203125" style="38" customWidth="1"/>
    <col min="13082" max="13086" width="2.109375" style="38" customWidth="1"/>
    <col min="13087" max="13095" width="2.33203125" style="38" customWidth="1"/>
    <col min="13096" max="13100" width="2.109375" style="38" customWidth="1"/>
    <col min="13101" max="13312" width="9.109375" style="38"/>
    <col min="13313" max="13337" width="2.33203125" style="38" customWidth="1"/>
    <col min="13338" max="13342" width="2.109375" style="38" customWidth="1"/>
    <col min="13343" max="13351" width="2.33203125" style="38" customWidth="1"/>
    <col min="13352" max="13356" width="2.109375" style="38" customWidth="1"/>
    <col min="13357" max="13568" width="9.109375" style="38"/>
    <col min="13569" max="13593" width="2.33203125" style="38" customWidth="1"/>
    <col min="13594" max="13598" width="2.109375" style="38" customWidth="1"/>
    <col min="13599" max="13607" width="2.33203125" style="38" customWidth="1"/>
    <col min="13608" max="13612" width="2.109375" style="38" customWidth="1"/>
    <col min="13613" max="13824" width="9.109375" style="38"/>
    <col min="13825" max="13849" width="2.33203125" style="38" customWidth="1"/>
    <col min="13850" max="13854" width="2.109375" style="38" customWidth="1"/>
    <col min="13855" max="13863" width="2.33203125" style="38" customWidth="1"/>
    <col min="13864" max="13868" width="2.109375" style="38" customWidth="1"/>
    <col min="13869" max="14080" width="9.109375" style="38"/>
    <col min="14081" max="14105" width="2.33203125" style="38" customWidth="1"/>
    <col min="14106" max="14110" width="2.109375" style="38" customWidth="1"/>
    <col min="14111" max="14119" width="2.33203125" style="38" customWidth="1"/>
    <col min="14120" max="14124" width="2.109375" style="38" customWidth="1"/>
    <col min="14125" max="14336" width="9.109375" style="38"/>
    <col min="14337" max="14361" width="2.33203125" style="38" customWidth="1"/>
    <col min="14362" max="14366" width="2.109375" style="38" customWidth="1"/>
    <col min="14367" max="14375" width="2.33203125" style="38" customWidth="1"/>
    <col min="14376" max="14380" width="2.109375" style="38" customWidth="1"/>
    <col min="14381" max="14592" width="9.109375" style="38"/>
    <col min="14593" max="14617" width="2.33203125" style="38" customWidth="1"/>
    <col min="14618" max="14622" width="2.109375" style="38" customWidth="1"/>
    <col min="14623" max="14631" width="2.33203125" style="38" customWidth="1"/>
    <col min="14632" max="14636" width="2.109375" style="38" customWidth="1"/>
    <col min="14637" max="14848" width="9.109375" style="38"/>
    <col min="14849" max="14873" width="2.33203125" style="38" customWidth="1"/>
    <col min="14874" max="14878" width="2.109375" style="38" customWidth="1"/>
    <col min="14879" max="14887" width="2.33203125" style="38" customWidth="1"/>
    <col min="14888" max="14892" width="2.109375" style="38" customWidth="1"/>
    <col min="14893" max="15104" width="9.109375" style="38"/>
    <col min="15105" max="15129" width="2.33203125" style="38" customWidth="1"/>
    <col min="15130" max="15134" width="2.109375" style="38" customWidth="1"/>
    <col min="15135" max="15143" width="2.33203125" style="38" customWidth="1"/>
    <col min="15144" max="15148" width="2.109375" style="38" customWidth="1"/>
    <col min="15149" max="15360" width="9.109375" style="38"/>
    <col min="15361" max="15385" width="2.33203125" style="38" customWidth="1"/>
    <col min="15386" max="15390" width="2.109375" style="38" customWidth="1"/>
    <col min="15391" max="15399" width="2.33203125" style="38" customWidth="1"/>
    <col min="15400" max="15404" width="2.109375" style="38" customWidth="1"/>
    <col min="15405" max="15616" width="9.109375" style="38"/>
    <col min="15617" max="15641" width="2.33203125" style="38" customWidth="1"/>
    <col min="15642" max="15646" width="2.109375" style="38" customWidth="1"/>
    <col min="15647" max="15655" width="2.33203125" style="38" customWidth="1"/>
    <col min="15656" max="15660" width="2.109375" style="38" customWidth="1"/>
    <col min="15661" max="15872" width="9.109375" style="38"/>
    <col min="15873" max="15897" width="2.33203125" style="38" customWidth="1"/>
    <col min="15898" max="15902" width="2.109375" style="38" customWidth="1"/>
    <col min="15903" max="15911" width="2.33203125" style="38" customWidth="1"/>
    <col min="15912" max="15916" width="2.109375" style="38" customWidth="1"/>
    <col min="15917" max="16128" width="9.109375" style="38"/>
    <col min="16129" max="16153" width="2.33203125" style="38" customWidth="1"/>
    <col min="16154" max="16158" width="2.109375" style="38" customWidth="1"/>
    <col min="16159" max="16167" width="2.33203125" style="38" customWidth="1"/>
    <col min="16168" max="16172" width="2.109375" style="38" customWidth="1"/>
    <col min="16173" max="16384" width="9.109375" style="38"/>
  </cols>
  <sheetData>
    <row r="1" spans="1:256" ht="20.399999999999999" x14ac:dyDescent="0.3">
      <c r="A1" s="37" t="s">
        <v>40</v>
      </c>
      <c r="AO1" s="41">
        <v>0</v>
      </c>
      <c r="AP1" s="42"/>
      <c r="AQ1" s="42"/>
      <c r="AR1" s="41">
        <v>0</v>
      </c>
      <c r="AV1" s="43">
        <v>1.3888888888888888E-2</v>
      </c>
    </row>
    <row r="2" spans="1:256" x14ac:dyDescent="0.3">
      <c r="A2" s="38" t="s">
        <v>42</v>
      </c>
      <c r="E2" s="38" t="s">
        <v>76</v>
      </c>
      <c r="P2" s="44" t="s">
        <v>22</v>
      </c>
      <c r="Q2" s="45"/>
      <c r="R2" s="45"/>
      <c r="S2" s="45"/>
      <c r="T2" s="45"/>
      <c r="U2" s="45"/>
      <c r="V2" s="45"/>
      <c r="W2" s="45" t="s">
        <v>3</v>
      </c>
      <c r="X2" s="45"/>
      <c r="Y2" s="46" t="s">
        <v>41</v>
      </c>
      <c r="Z2" s="45"/>
      <c r="AA2" s="45"/>
      <c r="AB2" s="45"/>
      <c r="AC2" s="45"/>
      <c r="AD2" s="47"/>
      <c r="AE2" s="48"/>
      <c r="AF2" s="48"/>
      <c r="AG2" s="49"/>
    </row>
    <row r="3" spans="1:256" ht="15" thickBot="1" x14ac:dyDescent="0.35">
      <c r="A3" s="38" t="s">
        <v>19</v>
      </c>
      <c r="D3" s="415">
        <f>Wedstrijden!I2</f>
        <v>45732</v>
      </c>
      <c r="E3" s="416"/>
      <c r="F3" s="416"/>
      <c r="G3" s="416"/>
      <c r="H3" s="416"/>
      <c r="I3" s="416"/>
      <c r="J3" s="416"/>
      <c r="K3" s="416"/>
      <c r="L3" s="416"/>
      <c r="M3" s="416"/>
      <c r="N3" s="417"/>
      <c r="P3" s="50" t="s">
        <v>18</v>
      </c>
      <c r="Q3" s="51" t="s">
        <v>43</v>
      </c>
      <c r="W3" s="38" t="s">
        <v>0</v>
      </c>
      <c r="Y3" s="51" t="s">
        <v>44</v>
      </c>
      <c r="AG3" s="52"/>
    </row>
    <row r="4" spans="1:256" x14ac:dyDescent="0.3">
      <c r="A4" s="38" t="s">
        <v>20</v>
      </c>
      <c r="D4" s="418">
        <v>12</v>
      </c>
      <c r="E4" s="418"/>
      <c r="F4" s="53"/>
      <c r="G4" s="419">
        <f>VLOOKUP(D4,Wedstrijden!A6:B57,2,0)</f>
        <v>0.63194444444444442</v>
      </c>
      <c r="H4" s="419"/>
      <c r="I4" s="419"/>
      <c r="J4" s="54" t="s">
        <v>16</v>
      </c>
      <c r="K4" s="419">
        <f>G4+AV1</f>
        <v>0.64583333333333326</v>
      </c>
      <c r="L4" s="419"/>
      <c r="M4" s="419"/>
      <c r="N4" s="53"/>
      <c r="P4" s="50" t="s">
        <v>17</v>
      </c>
      <c r="Q4" s="51" t="s">
        <v>45</v>
      </c>
      <c r="W4" s="38" t="s">
        <v>9</v>
      </c>
      <c r="Y4" s="51" t="s">
        <v>46</v>
      </c>
      <c r="AG4" s="52"/>
      <c r="BF4" s="406" t="s">
        <v>102</v>
      </c>
      <c r="BG4" s="407"/>
      <c r="BH4" s="407"/>
      <c r="BI4" s="408"/>
    </row>
    <row r="5" spans="1:256" x14ac:dyDescent="0.3">
      <c r="A5" s="38" t="s">
        <v>164</v>
      </c>
      <c r="D5" s="260" t="str">
        <f>VLOOKUP(D4,Wedstrijden!A6:D20,4,0)</f>
        <v>B</v>
      </c>
      <c r="P5" s="50" t="s">
        <v>10</v>
      </c>
      <c r="Q5" s="51" t="s">
        <v>47</v>
      </c>
      <c r="W5" s="38" t="s">
        <v>12</v>
      </c>
      <c r="Y5" s="51" t="s">
        <v>48</v>
      </c>
      <c r="AG5" s="52"/>
      <c r="BF5" s="409"/>
      <c r="BG5" s="410"/>
      <c r="BH5" s="410"/>
      <c r="BI5" s="411"/>
    </row>
    <row r="6" spans="1:256" ht="14.4" thickBot="1" x14ac:dyDescent="0.2">
      <c r="A6" s="38" t="s">
        <v>21</v>
      </c>
      <c r="D6" s="55" t="str">
        <f>Wedstrijden!K2</f>
        <v>Den Bosch</v>
      </c>
      <c r="P6" s="50" t="s">
        <v>11</v>
      </c>
      <c r="Q6" s="51" t="s">
        <v>49</v>
      </c>
      <c r="W6" s="38" t="s">
        <v>13</v>
      </c>
      <c r="Y6" s="51" t="s">
        <v>50</v>
      </c>
      <c r="AG6" s="52"/>
      <c r="AH6" s="354" t="s">
        <v>51</v>
      </c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BF6" s="412"/>
      <c r="BG6" s="413"/>
      <c r="BH6" s="413"/>
      <c r="BI6" s="414"/>
    </row>
    <row r="7" spans="1:256" x14ac:dyDescent="0.2">
      <c r="A7" s="56" t="s">
        <v>52</v>
      </c>
      <c r="B7" s="57"/>
      <c r="C7" s="57"/>
      <c r="D7" s="57"/>
      <c r="E7" s="58" t="s">
        <v>53</v>
      </c>
      <c r="F7" s="57"/>
      <c r="G7" s="59" t="str">
        <f>VLOOKUP(D4,Wedstrijden!A6:L57,5,0)</f>
        <v>SVG Den Bosch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 t="s">
        <v>54</v>
      </c>
      <c r="X7" s="57"/>
      <c r="Y7" s="57"/>
      <c r="Z7" s="58" t="s">
        <v>55</v>
      </c>
      <c r="AA7" s="58"/>
      <c r="AB7" s="57"/>
      <c r="AC7" s="59" t="str">
        <f>VLOOKUP(D4,Wedstrijden!A6:L57,9,0)</f>
        <v>VZ&amp;PC Nautilus 2</v>
      </c>
      <c r="AD7" s="60"/>
      <c r="AE7" s="61"/>
      <c r="AF7" s="61"/>
      <c r="AG7" s="61"/>
      <c r="AH7" s="61"/>
      <c r="AI7" s="61"/>
      <c r="AJ7" s="57"/>
      <c r="AK7" s="57"/>
      <c r="AL7" s="57"/>
      <c r="AM7" s="57"/>
      <c r="AN7" s="57"/>
      <c r="AO7" s="61"/>
      <c r="AP7" s="57"/>
      <c r="AQ7" s="57"/>
      <c r="AR7" s="62"/>
    </row>
    <row r="8" spans="1:256" x14ac:dyDescent="0.3">
      <c r="A8" s="63" t="s">
        <v>56</v>
      </c>
      <c r="B8" s="64"/>
      <c r="C8" s="64"/>
      <c r="D8" s="64"/>
      <c r="E8" s="64"/>
      <c r="F8" s="64"/>
      <c r="G8" s="64"/>
      <c r="H8" s="64"/>
      <c r="I8" s="64"/>
      <c r="J8" s="65" t="str">
        <f>VLOOKUP(D4,Wedstrijden!A6:P343,13,0)</f>
        <v>Hans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 t="s">
        <v>57</v>
      </c>
      <c r="X8" s="64"/>
      <c r="Y8" s="64"/>
      <c r="Z8" s="66" t="str">
        <f>VLOOKUP(D4,Wedstrijden!A6:N170,14,0)</f>
        <v>Gea</v>
      </c>
      <c r="AA8" s="64"/>
      <c r="AB8" s="64"/>
      <c r="AC8" s="64"/>
      <c r="AD8" s="67"/>
      <c r="AE8" s="68"/>
      <c r="AF8" s="68"/>
      <c r="AG8" s="68"/>
      <c r="AH8" s="68"/>
      <c r="AI8" s="68"/>
      <c r="AJ8" s="69" t="s">
        <v>17</v>
      </c>
      <c r="AK8" s="64"/>
      <c r="AL8" s="64"/>
      <c r="AM8" s="64"/>
      <c r="AN8" s="64"/>
      <c r="AO8" s="68"/>
      <c r="AP8" s="64"/>
      <c r="AQ8" s="64"/>
      <c r="AR8" s="70"/>
    </row>
    <row r="9" spans="1:256" ht="14.4" thickBot="1" x14ac:dyDescent="0.35">
      <c r="A9" s="71" t="s">
        <v>58</v>
      </c>
      <c r="B9" s="72"/>
      <c r="C9" s="72"/>
      <c r="D9" s="72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 t="s">
        <v>59</v>
      </c>
      <c r="X9" s="72"/>
      <c r="Y9" s="72"/>
      <c r="Z9" s="72"/>
      <c r="AA9" s="72"/>
      <c r="AB9" s="73"/>
      <c r="AC9" s="73"/>
      <c r="AD9" s="75"/>
      <c r="AE9" s="76"/>
      <c r="AF9" s="76"/>
      <c r="AG9" s="76"/>
      <c r="AH9" s="76"/>
      <c r="AI9" s="76"/>
      <c r="AJ9" s="73"/>
      <c r="AK9" s="73"/>
      <c r="AL9" s="73"/>
      <c r="AM9" s="73"/>
      <c r="AN9" s="73"/>
      <c r="AO9" s="76"/>
      <c r="AP9" s="73"/>
      <c r="AQ9" s="73"/>
      <c r="AR9" s="77"/>
    </row>
    <row r="10" spans="1:256" ht="15" x14ac:dyDescent="0.3">
      <c r="A10" s="78" t="s">
        <v>60</v>
      </c>
      <c r="B10" s="79"/>
      <c r="C10" s="79"/>
      <c r="D10" s="79"/>
      <c r="E10" s="79"/>
      <c r="F10" s="356" t="str">
        <f>+G7</f>
        <v>SVG Den Bosch</v>
      </c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7"/>
      <c r="Z10" s="362" t="s">
        <v>8</v>
      </c>
      <c r="AA10" s="363"/>
      <c r="AB10" s="363"/>
      <c r="AC10" s="363"/>
      <c r="AD10" s="364"/>
      <c r="AE10" s="80"/>
      <c r="AF10" s="80"/>
      <c r="AG10" s="80"/>
      <c r="AH10" s="80" t="s">
        <v>61</v>
      </c>
      <c r="AI10" s="80" t="s">
        <v>61</v>
      </c>
      <c r="AJ10" s="371" t="s">
        <v>14</v>
      </c>
      <c r="AK10" s="372"/>
      <c r="AL10" s="377" t="s">
        <v>62</v>
      </c>
      <c r="AM10" s="378"/>
      <c r="AN10" s="383" t="s">
        <v>15</v>
      </c>
      <c r="AO10" s="384"/>
      <c r="AP10" s="384"/>
      <c r="AQ10" s="384"/>
      <c r="AR10" s="385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2" t="s">
        <v>136</v>
      </c>
      <c r="BL10" s="82" t="str">
        <f>CONCATENATE($BL$12&amp;BK10&amp;"x")</f>
        <v>swwx</v>
      </c>
      <c r="BM10" s="82" t="str">
        <f>CONCATENATE($BM$12&amp;BK10&amp;"x")</f>
        <v>dwx</v>
      </c>
      <c r="BN10" s="82" t="str">
        <f>CONCATENATE($BN$12&amp;BK10&amp;"x")</f>
        <v>pwx</v>
      </c>
      <c r="BO10" s="82" t="str">
        <f>CONCATENATE($BO$12&amp;BK10&amp;"x")</f>
        <v>umvwx</v>
      </c>
      <c r="BP10" s="82" t="str">
        <f>CONCATENATE($BP$12&amp;BK10&amp;"x")</f>
        <v>uzvwx</v>
      </c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1" spans="1:256" x14ac:dyDescent="0.3">
      <c r="A11" s="393" t="s">
        <v>7</v>
      </c>
      <c r="B11" s="394"/>
      <c r="C11" s="394"/>
      <c r="D11" s="394"/>
      <c r="E11" s="81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  <c r="Z11" s="365"/>
      <c r="AA11" s="366"/>
      <c r="AB11" s="366"/>
      <c r="AC11" s="366"/>
      <c r="AD11" s="367"/>
      <c r="AE11" s="83" t="s">
        <v>63</v>
      </c>
      <c r="AF11" s="83"/>
      <c r="AG11" s="83"/>
      <c r="AH11" s="83" t="s">
        <v>64</v>
      </c>
      <c r="AI11" s="83" t="s">
        <v>65</v>
      </c>
      <c r="AJ11" s="373"/>
      <c r="AK11" s="374"/>
      <c r="AL11" s="379"/>
      <c r="AM11" s="380"/>
      <c r="AN11" s="386"/>
      <c r="AO11" s="387"/>
      <c r="AP11" s="387"/>
      <c r="AQ11" s="387"/>
      <c r="AR11" s="388"/>
      <c r="AS11" s="81"/>
      <c r="AT11" s="81"/>
      <c r="AU11" s="81" t="s">
        <v>17</v>
      </c>
      <c r="AV11" s="81" t="s">
        <v>18</v>
      </c>
      <c r="AW11" s="81" t="s">
        <v>77</v>
      </c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2" t="s">
        <v>142</v>
      </c>
      <c r="BL11" s="82" t="str">
        <f>CONCATENATE($BL$12&amp;BK11&amp;"x")</f>
        <v>swbx</v>
      </c>
      <c r="BM11" s="82" t="str">
        <f>CONCATENATE($BM$12&amp;BK11&amp;"x")</f>
        <v>dbx</v>
      </c>
      <c r="BN11" s="82" t="str">
        <f>CONCATENATE($BN$12&amp;BK11&amp;"x")</f>
        <v>pbx</v>
      </c>
      <c r="BO11" s="82" t="str">
        <f>CONCATENATE($BO$12&amp;BK11&amp;"x")</f>
        <v>umvbx</v>
      </c>
      <c r="BP11" s="82" t="str">
        <f>CONCATENATE($BP$12&amp;BK11&amp;"x")</f>
        <v>uzvbx</v>
      </c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</row>
    <row r="12" spans="1:256" ht="18" x14ac:dyDescent="0.35">
      <c r="A12" s="395"/>
      <c r="B12" s="396"/>
      <c r="C12" s="396"/>
      <c r="D12" s="394"/>
      <c r="E12" s="81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1"/>
      <c r="Z12" s="368"/>
      <c r="AA12" s="369"/>
      <c r="AB12" s="369"/>
      <c r="AC12" s="369"/>
      <c r="AD12" s="370"/>
      <c r="AE12" s="84" t="s">
        <v>17</v>
      </c>
      <c r="AF12" s="84" t="s">
        <v>10</v>
      </c>
      <c r="AG12" s="84" t="s">
        <v>11</v>
      </c>
      <c r="AH12" s="84" t="s">
        <v>66</v>
      </c>
      <c r="AI12" s="84" t="s">
        <v>66</v>
      </c>
      <c r="AJ12" s="375"/>
      <c r="AK12" s="376"/>
      <c r="AL12" s="381"/>
      <c r="AM12" s="382"/>
      <c r="AN12" s="389" t="s">
        <v>17</v>
      </c>
      <c r="AO12" s="369"/>
      <c r="AP12" s="85"/>
      <c r="AQ12" s="369" t="s">
        <v>18</v>
      </c>
      <c r="AR12" s="390"/>
      <c r="AS12" s="81"/>
      <c r="AT12" s="81"/>
      <c r="AU12" s="81" t="s">
        <v>78</v>
      </c>
      <c r="AV12" s="81" t="s">
        <v>79</v>
      </c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 t="s">
        <v>138</v>
      </c>
      <c r="BM12" s="81" t="s">
        <v>139</v>
      </c>
      <c r="BN12" s="81" t="s">
        <v>79</v>
      </c>
      <c r="BO12" s="81" t="s">
        <v>140</v>
      </c>
      <c r="BP12" s="81" t="s">
        <v>141</v>
      </c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</row>
    <row r="13" spans="1:256" ht="15.6" x14ac:dyDescent="0.3">
      <c r="A13" s="86" t="s">
        <v>0</v>
      </c>
      <c r="B13" s="87" t="s">
        <v>1</v>
      </c>
      <c r="C13" s="88"/>
      <c r="D13" s="89"/>
      <c r="E13" s="88" t="s">
        <v>2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90"/>
      <c r="V13" s="91" t="s">
        <v>3</v>
      </c>
      <c r="W13" s="91" t="s">
        <v>4</v>
      </c>
      <c r="X13" s="91" t="s">
        <v>5</v>
      </c>
      <c r="Y13" s="92" t="s">
        <v>6</v>
      </c>
      <c r="Z13" s="93"/>
      <c r="AA13" s="94">
        <v>2</v>
      </c>
      <c r="AB13" s="95" t="s">
        <v>16</v>
      </c>
      <c r="AC13" s="94">
        <v>0</v>
      </c>
      <c r="AD13" s="96">
        <v>6</v>
      </c>
      <c r="AE13" s="97"/>
      <c r="AF13" s="97"/>
      <c r="AG13" s="98" t="s">
        <v>265</v>
      </c>
      <c r="AH13" s="99"/>
      <c r="AI13" s="99"/>
      <c r="AJ13" s="391" t="s">
        <v>18</v>
      </c>
      <c r="AK13" s="392"/>
      <c r="AL13" s="401">
        <v>10</v>
      </c>
      <c r="AM13" s="402"/>
      <c r="AN13" s="100"/>
      <c r="AO13" s="101">
        <f>IF(BQ13="","",IF(BQ13=$BL$10,"2"+AO1,IF(BQ13=$BM$10,"1"+AO1,IF(BQ13=$BN$10,"0"+AO1,IF(BQ13=$BO$10,"0"+AO1,IF(BQ13=$BP$10,"0"+AO1,"0"+AO1))))))</f>
        <v>0</v>
      </c>
      <c r="AP13" s="95" t="s">
        <v>16</v>
      </c>
      <c r="AQ13" s="102"/>
      <c r="AR13" s="103">
        <f>IF(BQ13="","",IF(BQ13=$BL$11,"2"+AR1,IF(BQ13=$BM$11,"1"+AR1,IF(BQ13=$BN$11,"0"+AR1,IF(BQ13=$BO$11,"0"+AR1,IF(BQ13=$BP$11,"0"+AR1,"0"+AR1))))))</f>
        <v>1</v>
      </c>
      <c r="AY13" s="38" t="str">
        <f>CONCATENATE(AJ13&amp;AL13)</f>
        <v>B10</v>
      </c>
      <c r="AZ13" s="38" t="str">
        <f>IF(AE13=$AW$11,"2","0")</f>
        <v>0</v>
      </c>
      <c r="BA13" s="38" t="str">
        <f>IF(AG13=$AW$11,"1","0")</f>
        <v>1</v>
      </c>
      <c r="BB13" s="38" t="str">
        <f>IF(AF13=$AW$11,"1","0")</f>
        <v>0</v>
      </c>
      <c r="BC13" s="38">
        <f>AZ13+BA13</f>
        <v>1</v>
      </c>
      <c r="BD13" s="38">
        <f>BB13+0</f>
        <v>0</v>
      </c>
      <c r="BL13" s="38" t="str">
        <f>IF(AE13="","",CONCATENATE($BL$12&amp;AJ13&amp;AE13))</f>
        <v/>
      </c>
      <c r="BM13" s="38" t="str">
        <f>IF(AG13="","",CONCATENATE($BM$12&amp;AJ13&amp;AG13))</f>
        <v>dBX</v>
      </c>
      <c r="BN13" s="38" t="str">
        <f>IF(AF13="","",CONCATENATE($BN$12&amp;AJ13,AF13))</f>
        <v/>
      </c>
      <c r="BO13" s="38" t="str">
        <f>IF(AH13="","",CONCATENATE($BO$12&amp;AJ13&amp;AH13))</f>
        <v/>
      </c>
      <c r="BP13" s="38" t="str">
        <f>IF(AI13="","",CONCATENATE($BP$12&amp;AJ13&amp;AI13))</f>
        <v/>
      </c>
      <c r="BQ13" s="38" t="str">
        <f>CONCATENATE(BL13&amp;BM13&amp;BN13&amp;BO13&amp;BP13)</f>
        <v>dBX</v>
      </c>
    </row>
    <row r="14" spans="1:256" ht="15.6" x14ac:dyDescent="0.3">
      <c r="A14" s="104" t="s">
        <v>265</v>
      </c>
      <c r="B14" s="397">
        <f>IF(ISBLANK(HLOOKUP($F$10,spelerslijsten!$B$1:$J$22,4,FALSE)),"",HLOOKUP($F$10,spelerslijsten!$B$1:$J$22,4,FALSE))</f>
        <v>3</v>
      </c>
      <c r="C14" s="398"/>
      <c r="D14" s="105"/>
      <c r="E14" s="106" t="str">
        <f>IF(ISBLANK(HLOOKUP($F$10,spelerslijsten!$B$1:$J$22,3,FALSE)),"",HLOOKUP($F$10,spelerslijsten!$B$1:$J$22,3,FALSE))</f>
        <v>Bjorn Blom</v>
      </c>
      <c r="F14" s="107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8">
        <f t="shared" ref="V14:V20" si="0">SUMIF($AY$13:$AY$46,AT14,$BC$13:$BC$46)</f>
        <v>1</v>
      </c>
      <c r="W14" s="109" t="str">
        <f>IF(AU14&gt;0,"x","")</f>
        <v/>
      </c>
      <c r="X14" s="110" t="str">
        <f>IF(AU14&gt;1,"x","")</f>
        <v/>
      </c>
      <c r="Y14" s="103" t="str">
        <f>IF(AU14&gt;2,"x","")</f>
        <v/>
      </c>
      <c r="Z14" s="111"/>
      <c r="AA14" s="112">
        <v>3</v>
      </c>
      <c r="AB14" s="113" t="str">
        <f>+AB13</f>
        <v>-</v>
      </c>
      <c r="AC14" s="112">
        <v>1</v>
      </c>
      <c r="AD14" s="114">
        <v>0</v>
      </c>
      <c r="AE14" s="115"/>
      <c r="AF14" s="115"/>
      <c r="AG14" s="116" t="s">
        <v>265</v>
      </c>
      <c r="AH14" s="117"/>
      <c r="AI14" s="117"/>
      <c r="AJ14" s="342" t="s">
        <v>17</v>
      </c>
      <c r="AK14" s="343"/>
      <c r="AL14" s="346">
        <v>4</v>
      </c>
      <c r="AM14" s="347"/>
      <c r="AN14" s="118"/>
      <c r="AO14" s="101">
        <f>IF(BQ14="","",IF(BQ14=$BL$10,"2"+AO13,IF(BQ14=$BM$10,"1"+AO13,IF(BQ14=$BN$10,"0"+AO13,IF(BQ14=$BO$10,"0"+AO13,IF(BQ14=$BP$10,"0"+AO13,"0"+AO13))))))</f>
        <v>1</v>
      </c>
      <c r="AP14" s="113" t="str">
        <f>+AP13</f>
        <v>-</v>
      </c>
      <c r="AQ14" s="119"/>
      <c r="AR14" s="103">
        <f>IF(BQ14="","",IF(BQ14=$BL$11,"2"+AR13,IF(BQ14=$BM$11,"1"+AR13,IF(BQ14=$BN$11,"0"+AR13,IF(BQ14=$BO$11,"0"+AR13,IF(BQ14=$BP$11,"0"+AR13,"0"+AR13))))))</f>
        <v>1</v>
      </c>
      <c r="AT14" s="38" t="str">
        <f>CONCATENATE($AU$11&amp;B14)</f>
        <v>W3</v>
      </c>
      <c r="AU14" s="38">
        <f>SUMIF($AY$13:$AY$46,AT14,$BD$13:$BD$46)</f>
        <v>0</v>
      </c>
      <c r="AY14" s="38" t="str">
        <f t="shared" ref="AY14:AY46" si="1">CONCATENATE(AJ14&amp;AL14)</f>
        <v>W4</v>
      </c>
      <c r="AZ14" s="38" t="str">
        <f t="shared" ref="AZ14:AZ46" si="2">IF(AE14=$AW$11,"2","0")</f>
        <v>0</v>
      </c>
      <c r="BA14" s="38" t="str">
        <f t="shared" ref="BA14:BA46" si="3">IF(AG14=$AW$11,"1","0")</f>
        <v>1</v>
      </c>
      <c r="BB14" s="38" t="str">
        <f t="shared" ref="BB14:BB46" si="4">IF(AF14=$AW$11,"1","0")</f>
        <v>0</v>
      </c>
      <c r="BC14" s="38">
        <f t="shared" ref="BC14:BC46" si="5">AZ14+BA14</f>
        <v>1</v>
      </c>
      <c r="BD14" s="38">
        <f t="shared" ref="BD14:BD46" si="6">BB14+0</f>
        <v>0</v>
      </c>
      <c r="BL14" s="38" t="str">
        <f t="shared" ref="BL14:BL46" si="7">IF(AE14="","",CONCATENATE($BL$12&amp;AJ14&amp;AE14))</f>
        <v/>
      </c>
      <c r="BM14" s="38" t="str">
        <f t="shared" ref="BM14:BM46" si="8">IF(AG14="","",CONCATENATE($BM$12&amp;AJ14&amp;AG14))</f>
        <v>dWX</v>
      </c>
      <c r="BN14" s="38" t="str">
        <f t="shared" ref="BN14:BN46" si="9">IF(AF14="","",CONCATENATE($BN$12&amp;AJ14,AF14))</f>
        <v/>
      </c>
      <c r="BO14" s="38" t="str">
        <f t="shared" ref="BO14:BO46" si="10">IF(AH14="","",CONCATENATE($BO$12&amp;AJ14&amp;AH14))</f>
        <v/>
      </c>
      <c r="BP14" s="38" t="str">
        <f t="shared" ref="BP14:BP46" si="11">IF(AI14="","",CONCATENATE($BP$12&amp;AJ14&amp;AI14))</f>
        <v/>
      </c>
      <c r="BQ14" s="38" t="str">
        <f t="shared" ref="BQ14:BQ46" si="12">CONCATENATE(BL14&amp;BM14&amp;BN14&amp;BO14&amp;BP14)</f>
        <v>dWX</v>
      </c>
    </row>
    <row r="15" spans="1:256" ht="15.6" x14ac:dyDescent="0.3">
      <c r="A15" s="120" t="s">
        <v>265</v>
      </c>
      <c r="B15" s="397">
        <f>IF(ISBLANK(HLOOKUP($F$10,spelerslijsten!$B$1:$J$22,6,FALSE)),"",HLOOKUP($F$10,spelerslijsten!$B$1:$J$22,6,FALSE))</f>
        <v>4</v>
      </c>
      <c r="C15" s="398"/>
      <c r="D15" s="121"/>
      <c r="E15" s="122" t="str">
        <f>IF(ISBLANK(HLOOKUP($F$10,spelerslijsten!$B$1:$J$22,5,FALSE)),"",HLOOKUP($F$10,spelerslijsten!$B$1:$J$22,5,FALSE))</f>
        <v>Wesley van Eldijk</v>
      </c>
      <c r="F15" s="123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08">
        <f t="shared" si="0"/>
        <v>5</v>
      </c>
      <c r="W15" s="109" t="str">
        <f t="shared" ref="W15:W23" si="13">IF(AU15&gt;0,"x","")</f>
        <v/>
      </c>
      <c r="X15" s="110" t="str">
        <f t="shared" ref="X15:X23" si="14">IF(AU15&gt;1,"x","")</f>
        <v/>
      </c>
      <c r="Y15" s="103" t="str">
        <f t="shared" ref="Y15:Y23" si="15">IF(AU15&gt;2,"x","")</f>
        <v/>
      </c>
      <c r="Z15" s="111"/>
      <c r="AA15" s="112">
        <v>4</v>
      </c>
      <c r="AB15" s="113" t="str">
        <f t="shared" ref="AB15:AB44" si="16">+AB14</f>
        <v>-</v>
      </c>
      <c r="AC15" s="112">
        <v>0</v>
      </c>
      <c r="AD15" s="114">
        <v>7</v>
      </c>
      <c r="AE15" s="115"/>
      <c r="AF15" s="115"/>
      <c r="AG15" s="116" t="s">
        <v>265</v>
      </c>
      <c r="AH15" s="117"/>
      <c r="AI15" s="117"/>
      <c r="AJ15" s="342" t="s">
        <v>17</v>
      </c>
      <c r="AK15" s="343"/>
      <c r="AL15" s="346">
        <v>4</v>
      </c>
      <c r="AM15" s="347"/>
      <c r="AN15" s="118"/>
      <c r="AO15" s="101">
        <f>IF(BQ15="","",IF(BQ15=$BL$10,"2"+AO14,IF(BQ15=$BM$10,"1"+AO14,IF(BQ15=$BN$10,"0"+AO14,IF(BQ15=$BO$10,"0"+AO14,IF(BQ15=$BP$10,"0"+AO14,"0"+AO14))))))</f>
        <v>2</v>
      </c>
      <c r="AP15" s="113" t="str">
        <f>+AP14</f>
        <v>-</v>
      </c>
      <c r="AQ15" s="119"/>
      <c r="AR15" s="103">
        <f>IF(BQ15="","",IF(BQ15=$BL$11,"2"+AR14,IF(BQ15=$BM$11,"1"+AR14,IF(BQ15=$BN$11,"0"+AR14,IF(BQ15=$BO$11,"0"+AR14,IF(BQ15=$BP$11,"0"+AR14,"0"+AR14))))))</f>
        <v>1</v>
      </c>
      <c r="AT15" s="38" t="str">
        <f t="shared" ref="AT15:AT23" si="17">CONCATENATE($AU$11&amp;B15)</f>
        <v>W4</v>
      </c>
      <c r="AU15" s="38">
        <f t="shared" ref="AU15:AU39" si="18">SUMIF($AY$13:$AY$46,AT15,$BD$13:$BD$46)</f>
        <v>0</v>
      </c>
      <c r="AY15" s="38" t="str">
        <f t="shared" si="1"/>
        <v>W4</v>
      </c>
      <c r="AZ15" s="38" t="str">
        <f t="shared" si="2"/>
        <v>0</v>
      </c>
      <c r="BA15" s="38" t="str">
        <f t="shared" si="3"/>
        <v>1</v>
      </c>
      <c r="BB15" s="38" t="str">
        <f t="shared" si="4"/>
        <v>0</v>
      </c>
      <c r="BC15" s="38">
        <f t="shared" si="5"/>
        <v>1</v>
      </c>
      <c r="BD15" s="38">
        <f t="shared" si="6"/>
        <v>0</v>
      </c>
      <c r="BL15" s="38" t="str">
        <f t="shared" si="7"/>
        <v/>
      </c>
      <c r="BM15" s="38" t="str">
        <f t="shared" si="8"/>
        <v>dWX</v>
      </c>
      <c r="BN15" s="38" t="str">
        <f t="shared" si="9"/>
        <v/>
      </c>
      <c r="BO15" s="38" t="str">
        <f t="shared" si="10"/>
        <v/>
      </c>
      <c r="BP15" s="38" t="str">
        <f t="shared" si="11"/>
        <v/>
      </c>
      <c r="BQ15" s="38" t="str">
        <f t="shared" si="12"/>
        <v>dWX</v>
      </c>
    </row>
    <row r="16" spans="1:256" ht="15.6" x14ac:dyDescent="0.3">
      <c r="A16" s="124" t="s">
        <v>265</v>
      </c>
      <c r="B16" s="397">
        <f>IF(ISBLANK(HLOOKUP($F$10,spelerslijsten!$B$1:$J$22,8,FALSE)),"",HLOOKUP($F$10,spelerslijsten!$B$1:$J$22,8,FALSE))</f>
        <v>5</v>
      </c>
      <c r="C16" s="398"/>
      <c r="D16" s="121"/>
      <c r="E16" s="122" t="str">
        <f>IF(ISBLANK(HLOOKUP($F$10,spelerslijsten!$B$1:$J$22,7,FALSE)),"",HLOOKUP($F$10,spelerslijsten!$B$1:$J$22,7,FALSE))</f>
        <v>Jurriaan Rijnaars</v>
      </c>
      <c r="F16" s="12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08">
        <f t="shared" si="0"/>
        <v>0</v>
      </c>
      <c r="W16" s="109" t="str">
        <f t="shared" si="13"/>
        <v/>
      </c>
      <c r="X16" s="110" t="str">
        <f t="shared" si="14"/>
        <v/>
      </c>
      <c r="Y16" s="103" t="str">
        <f t="shared" si="15"/>
        <v/>
      </c>
      <c r="Z16" s="111"/>
      <c r="AA16" s="112">
        <v>5</v>
      </c>
      <c r="AB16" s="113" t="str">
        <f t="shared" si="16"/>
        <v>-</v>
      </c>
      <c r="AC16" s="112">
        <v>2</v>
      </c>
      <c r="AD16" s="114">
        <v>5</v>
      </c>
      <c r="AE16" s="115"/>
      <c r="AF16" s="115"/>
      <c r="AG16" s="116" t="s">
        <v>265</v>
      </c>
      <c r="AH16" s="117"/>
      <c r="AI16" s="117"/>
      <c r="AJ16" s="342" t="s">
        <v>17</v>
      </c>
      <c r="AK16" s="343"/>
      <c r="AL16" s="346">
        <v>4</v>
      </c>
      <c r="AM16" s="347"/>
      <c r="AN16" s="118"/>
      <c r="AO16" s="101">
        <f t="shared" ref="AO16:AO46" si="19">IF(BQ16="","",IF(BQ16=$BL$10,"2"+AO15,IF(BQ16=$BM$10,"1"+AO15,IF(BQ16=$BN$10,"0"+AO15,IF(BQ16=$BO$10,"0"+AO15,IF(BQ16=$BP$10,"0"+AO15,"0"+AO15))))))</f>
        <v>3</v>
      </c>
      <c r="AP16" s="113" t="str">
        <f t="shared" ref="AP16:AP46" si="20">+AP15</f>
        <v>-</v>
      </c>
      <c r="AQ16" s="119"/>
      <c r="AR16" s="103">
        <f t="shared" ref="AR16:AR46" si="21">IF(BQ16="","",IF(BQ16=$BL$11,"2"+AR15,IF(BQ16=$BM$11,"1"+AR15,IF(BQ16=$BN$11,"0"+AR15,IF(BQ16=$BO$11,"0"+AR15,IF(BQ16=$BP$11,"0"+AR15,"0"+AR15))))))</f>
        <v>1</v>
      </c>
      <c r="AT16" s="38" t="str">
        <f t="shared" si="17"/>
        <v>W5</v>
      </c>
      <c r="AU16" s="38">
        <f t="shared" si="18"/>
        <v>0</v>
      </c>
      <c r="AY16" s="38" t="str">
        <f t="shared" si="1"/>
        <v>W4</v>
      </c>
      <c r="AZ16" s="38" t="str">
        <f t="shared" si="2"/>
        <v>0</v>
      </c>
      <c r="BA16" s="38" t="str">
        <f t="shared" si="3"/>
        <v>1</v>
      </c>
      <c r="BB16" s="38" t="str">
        <f t="shared" si="4"/>
        <v>0</v>
      </c>
      <c r="BC16" s="38">
        <f t="shared" si="5"/>
        <v>1</v>
      </c>
      <c r="BD16" s="38">
        <f t="shared" si="6"/>
        <v>0</v>
      </c>
      <c r="BL16" s="38" t="str">
        <f t="shared" si="7"/>
        <v/>
      </c>
      <c r="BM16" s="38" t="str">
        <f t="shared" si="8"/>
        <v>dWX</v>
      </c>
      <c r="BN16" s="38" t="str">
        <f t="shared" si="9"/>
        <v/>
      </c>
      <c r="BO16" s="38" t="str">
        <f t="shared" si="10"/>
        <v/>
      </c>
      <c r="BP16" s="38" t="str">
        <f t="shared" si="11"/>
        <v/>
      </c>
      <c r="BQ16" s="38" t="str">
        <f t="shared" si="12"/>
        <v>dWX</v>
      </c>
    </row>
    <row r="17" spans="1:69" ht="15.6" x14ac:dyDescent="0.3">
      <c r="A17" s="124" t="s">
        <v>265</v>
      </c>
      <c r="B17" s="397">
        <f>IF(ISBLANK(HLOOKUP($F$10,spelerslijsten!$B$1:$J$22,10,FALSE)),"",HLOOKUP($F$10,spelerslijsten!$B$1:$J$22,10,FALSE))</f>
        <v>6</v>
      </c>
      <c r="C17" s="398"/>
      <c r="D17" s="121"/>
      <c r="E17" s="122" t="str">
        <f>IF(ISBLANK(HLOOKUP($F$10,spelerslijsten!$B$1:$J$22,9,FALSE)),"",HLOOKUP($F$10,spelerslijsten!$B$1:$J$22,9,FALSE))</f>
        <v>Lucas van Osch</v>
      </c>
      <c r="F17" s="12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08">
        <f t="shared" si="0"/>
        <v>0</v>
      </c>
      <c r="W17" s="109" t="str">
        <f t="shared" si="13"/>
        <v/>
      </c>
      <c r="X17" s="110" t="str">
        <f t="shared" si="14"/>
        <v/>
      </c>
      <c r="Y17" s="103" t="str">
        <f t="shared" si="15"/>
        <v/>
      </c>
      <c r="Z17" s="111"/>
      <c r="AA17" s="112">
        <v>6</v>
      </c>
      <c r="AB17" s="113" t="str">
        <f t="shared" si="16"/>
        <v>-</v>
      </c>
      <c r="AC17" s="112">
        <v>3</v>
      </c>
      <c r="AD17" s="114">
        <v>0</v>
      </c>
      <c r="AE17" s="115"/>
      <c r="AF17" s="115"/>
      <c r="AG17" s="116" t="s">
        <v>265</v>
      </c>
      <c r="AH17" s="117"/>
      <c r="AI17" s="117"/>
      <c r="AJ17" s="342" t="s">
        <v>17</v>
      </c>
      <c r="AK17" s="343"/>
      <c r="AL17" s="346">
        <v>4</v>
      </c>
      <c r="AM17" s="347"/>
      <c r="AN17" s="118"/>
      <c r="AO17" s="101">
        <f t="shared" si="19"/>
        <v>4</v>
      </c>
      <c r="AP17" s="113" t="str">
        <f t="shared" si="20"/>
        <v>-</v>
      </c>
      <c r="AQ17" s="119"/>
      <c r="AR17" s="103">
        <f t="shared" si="21"/>
        <v>1</v>
      </c>
      <c r="AT17" s="38" t="str">
        <f t="shared" si="17"/>
        <v>W6</v>
      </c>
      <c r="AU17" s="38">
        <f t="shared" si="18"/>
        <v>0</v>
      </c>
      <c r="AY17" s="38" t="str">
        <f t="shared" si="1"/>
        <v>W4</v>
      </c>
      <c r="AZ17" s="38" t="str">
        <f t="shared" si="2"/>
        <v>0</v>
      </c>
      <c r="BA17" s="38" t="str">
        <f t="shared" si="3"/>
        <v>1</v>
      </c>
      <c r="BB17" s="38" t="str">
        <f t="shared" si="4"/>
        <v>0</v>
      </c>
      <c r="BC17" s="38">
        <f t="shared" si="5"/>
        <v>1</v>
      </c>
      <c r="BD17" s="38">
        <f t="shared" si="6"/>
        <v>0</v>
      </c>
      <c r="BL17" s="38" t="str">
        <f t="shared" si="7"/>
        <v/>
      </c>
      <c r="BM17" s="38" t="str">
        <f t="shared" si="8"/>
        <v>dWX</v>
      </c>
      <c r="BN17" s="38" t="str">
        <f t="shared" si="9"/>
        <v/>
      </c>
      <c r="BO17" s="38" t="str">
        <f t="shared" si="10"/>
        <v/>
      </c>
      <c r="BP17" s="38" t="str">
        <f t="shared" si="11"/>
        <v/>
      </c>
      <c r="BQ17" s="38" t="str">
        <f t="shared" si="12"/>
        <v>dWX</v>
      </c>
    </row>
    <row r="18" spans="1:69" ht="15.6" x14ac:dyDescent="0.3">
      <c r="A18" s="124" t="s">
        <v>265</v>
      </c>
      <c r="B18" s="397">
        <f>IF(ISBLANK(HLOOKUP($F$10,spelerslijsten!$B$1:$J$22,12,FALSE)),"",HLOOKUP($F$10,spelerslijsten!$B$1:$J$22,12,FALSE))</f>
        <v>7</v>
      </c>
      <c r="C18" s="398"/>
      <c r="D18" s="121"/>
      <c r="E18" s="122" t="str">
        <f>IF(ISBLANK(HLOOKUP($F$10,spelerslijsten!$B$1:$J$22,11,FALSE)),"",HLOOKUP($F$10,spelerslijsten!$B$1:$J$22,11,FALSE))</f>
        <v>Helmi van Hirtum</v>
      </c>
      <c r="F18" s="12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08">
        <f t="shared" si="0"/>
        <v>0</v>
      </c>
      <c r="W18" s="109" t="str">
        <f t="shared" si="13"/>
        <v/>
      </c>
      <c r="X18" s="110" t="str">
        <f t="shared" si="14"/>
        <v/>
      </c>
      <c r="Y18" s="103" t="str">
        <f t="shared" si="15"/>
        <v/>
      </c>
      <c r="Z18" s="111"/>
      <c r="AA18" s="112">
        <v>7</v>
      </c>
      <c r="AB18" s="113" t="s">
        <v>16</v>
      </c>
      <c r="AC18" s="112">
        <v>5</v>
      </c>
      <c r="AD18" s="114">
        <v>6</v>
      </c>
      <c r="AE18" s="115"/>
      <c r="AF18" s="115"/>
      <c r="AG18" s="116" t="s">
        <v>265</v>
      </c>
      <c r="AH18" s="117"/>
      <c r="AI18" s="117"/>
      <c r="AJ18" s="342" t="s">
        <v>17</v>
      </c>
      <c r="AK18" s="343"/>
      <c r="AL18" s="346">
        <v>4</v>
      </c>
      <c r="AM18" s="347"/>
      <c r="AN18" s="118"/>
      <c r="AO18" s="101">
        <f t="shared" si="19"/>
        <v>5</v>
      </c>
      <c r="AP18" s="113" t="str">
        <f t="shared" si="20"/>
        <v>-</v>
      </c>
      <c r="AQ18" s="119"/>
      <c r="AR18" s="103">
        <f t="shared" si="21"/>
        <v>1</v>
      </c>
      <c r="AT18" s="38" t="str">
        <f t="shared" si="17"/>
        <v>W7</v>
      </c>
      <c r="AU18" s="38">
        <f t="shared" si="18"/>
        <v>0</v>
      </c>
      <c r="AY18" s="38" t="str">
        <f t="shared" si="1"/>
        <v>W4</v>
      </c>
      <c r="AZ18" s="38" t="str">
        <f t="shared" si="2"/>
        <v>0</v>
      </c>
      <c r="BA18" s="38" t="str">
        <f t="shared" si="3"/>
        <v>1</v>
      </c>
      <c r="BB18" s="38" t="str">
        <f t="shared" si="4"/>
        <v>0</v>
      </c>
      <c r="BC18" s="38">
        <f t="shared" si="5"/>
        <v>1</v>
      </c>
      <c r="BD18" s="38">
        <f t="shared" si="6"/>
        <v>0</v>
      </c>
      <c r="BL18" s="38" t="str">
        <f t="shared" si="7"/>
        <v/>
      </c>
      <c r="BM18" s="38" t="str">
        <f t="shared" si="8"/>
        <v>dWX</v>
      </c>
      <c r="BN18" s="38" t="str">
        <f t="shared" si="9"/>
        <v/>
      </c>
      <c r="BO18" s="38" t="str">
        <f t="shared" si="10"/>
        <v/>
      </c>
      <c r="BP18" s="38" t="str">
        <f t="shared" si="11"/>
        <v/>
      </c>
      <c r="BQ18" s="38" t="str">
        <f t="shared" si="12"/>
        <v>dWX</v>
      </c>
    </row>
    <row r="19" spans="1:69" ht="15.6" x14ac:dyDescent="0.3">
      <c r="A19" s="124" t="s">
        <v>265</v>
      </c>
      <c r="B19" s="397">
        <f>IF(ISBLANK(HLOOKUP($F$10,spelerslijsten!$B$1:$J$22,14,FALSE)),"",HLOOKUP($F$10,spelerslijsten!$B$1:$J$22,14,FALSE))</f>
        <v>8</v>
      </c>
      <c r="C19" s="398"/>
      <c r="D19" s="121"/>
      <c r="E19" s="122" t="str">
        <f>IF(ISBLANK(HLOOKUP($F$10,spelerslijsten!$B$1:$J$22,13,FALSE)),"",HLOOKUP($F$10,spelerslijsten!$B$1:$J$22,13,FALSE))</f>
        <v>Sara van Grinsven</v>
      </c>
      <c r="F19" s="12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08">
        <f t="shared" si="0"/>
        <v>0</v>
      </c>
      <c r="W19" s="109" t="str">
        <f t="shared" si="13"/>
        <v/>
      </c>
      <c r="X19" s="110" t="str">
        <f t="shared" si="14"/>
        <v/>
      </c>
      <c r="Y19" s="103" t="str">
        <f t="shared" si="15"/>
        <v/>
      </c>
      <c r="Z19" s="111"/>
      <c r="AA19" s="112">
        <v>9</v>
      </c>
      <c r="AB19" s="113" t="str">
        <f t="shared" si="16"/>
        <v>-</v>
      </c>
      <c r="AC19" s="112">
        <v>5</v>
      </c>
      <c r="AD19" s="114">
        <v>0</v>
      </c>
      <c r="AE19" s="115"/>
      <c r="AF19" s="115"/>
      <c r="AG19" s="116" t="s">
        <v>265</v>
      </c>
      <c r="AH19" s="117"/>
      <c r="AI19" s="117"/>
      <c r="AJ19" s="342" t="s">
        <v>18</v>
      </c>
      <c r="AK19" s="343"/>
      <c r="AL19" s="346">
        <v>10</v>
      </c>
      <c r="AM19" s="347"/>
      <c r="AN19" s="118"/>
      <c r="AO19" s="101">
        <f t="shared" si="19"/>
        <v>5</v>
      </c>
      <c r="AP19" s="113" t="str">
        <f t="shared" si="20"/>
        <v>-</v>
      </c>
      <c r="AQ19" s="119"/>
      <c r="AR19" s="103">
        <f t="shared" si="21"/>
        <v>2</v>
      </c>
      <c r="AT19" s="38" t="str">
        <f t="shared" si="17"/>
        <v>W8</v>
      </c>
      <c r="AU19" s="38">
        <f t="shared" si="18"/>
        <v>0</v>
      </c>
      <c r="AY19" s="38" t="str">
        <f t="shared" si="1"/>
        <v>B10</v>
      </c>
      <c r="AZ19" s="38" t="str">
        <f t="shared" si="2"/>
        <v>0</v>
      </c>
      <c r="BA19" s="38" t="str">
        <f t="shared" si="3"/>
        <v>1</v>
      </c>
      <c r="BB19" s="38" t="str">
        <f t="shared" si="4"/>
        <v>0</v>
      </c>
      <c r="BC19" s="38">
        <f t="shared" si="5"/>
        <v>1</v>
      </c>
      <c r="BD19" s="38">
        <f t="shared" si="6"/>
        <v>0</v>
      </c>
      <c r="BL19" s="38" t="str">
        <f t="shared" si="7"/>
        <v/>
      </c>
      <c r="BM19" s="38" t="str">
        <f t="shared" si="8"/>
        <v>dBX</v>
      </c>
      <c r="BN19" s="38" t="str">
        <f t="shared" si="9"/>
        <v/>
      </c>
      <c r="BO19" s="38" t="str">
        <f t="shared" si="10"/>
        <v/>
      </c>
      <c r="BP19" s="38" t="str">
        <f t="shared" si="11"/>
        <v/>
      </c>
      <c r="BQ19" s="38" t="str">
        <f t="shared" si="12"/>
        <v>dBX</v>
      </c>
    </row>
    <row r="20" spans="1:69" ht="15.6" x14ac:dyDescent="0.3">
      <c r="A20" s="124" t="s">
        <v>265</v>
      </c>
      <c r="B20" s="397">
        <f>IF(ISBLANK(HLOOKUP($F$10,spelerslijsten!$B$1:$J$22,16,FALSE)),"",HLOOKUP($F$10,spelerslijsten!$B$1:$J$22,16,FALSE))</f>
        <v>9</v>
      </c>
      <c r="C20" s="398"/>
      <c r="D20" s="121"/>
      <c r="E20" s="122" t="str">
        <f>IF(ISBLANK(HLOOKUP($F$10,spelerslijsten!$B$1:$J$22,15,FALSE)),"",HLOOKUP($F$10,spelerslijsten!$B$1:$J$22,15,FALSE))</f>
        <v>Robby van Gruythuysen</v>
      </c>
      <c r="F20" s="12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08">
        <f t="shared" si="0"/>
        <v>1</v>
      </c>
      <c r="W20" s="109" t="str">
        <f t="shared" si="13"/>
        <v/>
      </c>
      <c r="X20" s="110" t="str">
        <f t="shared" si="14"/>
        <v/>
      </c>
      <c r="Y20" s="103" t="str">
        <f t="shared" si="15"/>
        <v/>
      </c>
      <c r="Z20" s="111">
        <v>1</v>
      </c>
      <c r="AA20" s="112">
        <v>1</v>
      </c>
      <c r="AB20" s="113" t="str">
        <f t="shared" si="16"/>
        <v>-</v>
      </c>
      <c r="AC20" s="112">
        <v>0</v>
      </c>
      <c r="AD20" s="114">
        <v>6</v>
      </c>
      <c r="AE20" s="115"/>
      <c r="AF20" s="115"/>
      <c r="AG20" s="116" t="s">
        <v>265</v>
      </c>
      <c r="AH20" s="117"/>
      <c r="AI20" s="117"/>
      <c r="AJ20" s="342" t="s">
        <v>17</v>
      </c>
      <c r="AK20" s="343"/>
      <c r="AL20" s="346">
        <v>9</v>
      </c>
      <c r="AM20" s="347"/>
      <c r="AN20" s="118"/>
      <c r="AO20" s="101">
        <f t="shared" si="19"/>
        <v>6</v>
      </c>
      <c r="AP20" s="113" t="str">
        <f t="shared" si="20"/>
        <v>-</v>
      </c>
      <c r="AQ20" s="119"/>
      <c r="AR20" s="103">
        <f t="shared" si="21"/>
        <v>2</v>
      </c>
      <c r="AT20" s="38" t="str">
        <f t="shared" si="17"/>
        <v>W9</v>
      </c>
      <c r="AU20" s="38">
        <f t="shared" si="18"/>
        <v>0</v>
      </c>
      <c r="AY20" s="38" t="str">
        <f t="shared" si="1"/>
        <v>W9</v>
      </c>
      <c r="AZ20" s="38" t="str">
        <f t="shared" si="2"/>
        <v>0</v>
      </c>
      <c r="BA20" s="38" t="str">
        <f t="shared" si="3"/>
        <v>1</v>
      </c>
      <c r="BB20" s="38" t="str">
        <f t="shared" si="4"/>
        <v>0</v>
      </c>
      <c r="BC20" s="38">
        <f t="shared" si="5"/>
        <v>1</v>
      </c>
      <c r="BD20" s="38">
        <f t="shared" si="6"/>
        <v>0</v>
      </c>
      <c r="BL20" s="38" t="str">
        <f t="shared" si="7"/>
        <v/>
      </c>
      <c r="BM20" s="38" t="str">
        <f t="shared" si="8"/>
        <v>dWX</v>
      </c>
      <c r="BN20" s="38" t="str">
        <f t="shared" si="9"/>
        <v/>
      </c>
      <c r="BO20" s="38" t="str">
        <f t="shared" si="10"/>
        <v/>
      </c>
      <c r="BP20" s="38" t="str">
        <f t="shared" si="11"/>
        <v/>
      </c>
      <c r="BQ20" s="38" t="str">
        <f t="shared" si="12"/>
        <v>dWX</v>
      </c>
    </row>
    <row r="21" spans="1:69" ht="15.6" x14ac:dyDescent="0.3">
      <c r="A21" s="124"/>
      <c r="B21" s="397">
        <f>IF(ISBLANK(HLOOKUP($F$10,spelerslijsten!$B$1:$J$22,18,FALSE)),"",HLOOKUP($F$10,spelerslijsten!$B$1:$J$22,18,FALSE))</f>
        <v>10</v>
      </c>
      <c r="C21" s="398"/>
      <c r="D21" s="121"/>
      <c r="E21" s="122" t="str">
        <f>IF(ISBLANK(HLOOKUP($F$10,spelerslijsten!$B$1:$J$22,17,FALSE)),"",HLOOKUP($F$10,spelerslijsten!$B$1:$J$22,17,FALSE))</f>
        <v>Peter Schwering</v>
      </c>
      <c r="F21" s="12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08">
        <f>SUMIF($AY$13:$AY$46,AT21,$BC$13:$BC$46)</f>
        <v>0</v>
      </c>
      <c r="W21" s="109" t="str">
        <f t="shared" si="13"/>
        <v/>
      </c>
      <c r="X21" s="110" t="str">
        <f t="shared" si="14"/>
        <v/>
      </c>
      <c r="Y21" s="103" t="str">
        <f t="shared" si="15"/>
        <v/>
      </c>
      <c r="Z21" s="111">
        <v>1</v>
      </c>
      <c r="AA21" s="112">
        <v>2</v>
      </c>
      <c r="AB21" s="113" t="str">
        <f t="shared" si="16"/>
        <v>-</v>
      </c>
      <c r="AC21" s="112">
        <v>4</v>
      </c>
      <c r="AD21" s="114">
        <v>6</v>
      </c>
      <c r="AE21" s="115"/>
      <c r="AF21" s="115"/>
      <c r="AG21" s="116" t="s">
        <v>265</v>
      </c>
      <c r="AH21" s="117"/>
      <c r="AI21" s="117"/>
      <c r="AJ21" s="342" t="s">
        <v>17</v>
      </c>
      <c r="AK21" s="343"/>
      <c r="AL21" s="346">
        <v>3</v>
      </c>
      <c r="AM21" s="347"/>
      <c r="AN21" s="118"/>
      <c r="AO21" s="101">
        <f t="shared" si="19"/>
        <v>7</v>
      </c>
      <c r="AP21" s="113" t="str">
        <f t="shared" si="20"/>
        <v>-</v>
      </c>
      <c r="AQ21" s="119"/>
      <c r="AR21" s="103">
        <f t="shared" si="21"/>
        <v>2</v>
      </c>
      <c r="AT21" s="38" t="str">
        <f t="shared" si="17"/>
        <v>W10</v>
      </c>
      <c r="AU21" s="38">
        <f t="shared" si="18"/>
        <v>0</v>
      </c>
      <c r="AY21" s="38" t="str">
        <f t="shared" si="1"/>
        <v>W3</v>
      </c>
      <c r="AZ21" s="38" t="str">
        <f t="shared" si="2"/>
        <v>0</v>
      </c>
      <c r="BA21" s="38" t="str">
        <f t="shared" si="3"/>
        <v>1</v>
      </c>
      <c r="BB21" s="38" t="str">
        <f t="shared" si="4"/>
        <v>0</v>
      </c>
      <c r="BC21" s="38">
        <f t="shared" si="5"/>
        <v>1</v>
      </c>
      <c r="BD21" s="38">
        <f t="shared" si="6"/>
        <v>0</v>
      </c>
      <c r="BL21" s="38" t="str">
        <f t="shared" si="7"/>
        <v/>
      </c>
      <c r="BM21" s="38" t="str">
        <f t="shared" si="8"/>
        <v>dWX</v>
      </c>
      <c r="BN21" s="38" t="str">
        <f t="shared" si="9"/>
        <v/>
      </c>
      <c r="BO21" s="38" t="str">
        <f t="shared" si="10"/>
        <v/>
      </c>
      <c r="BP21" s="38" t="str">
        <f t="shared" si="11"/>
        <v/>
      </c>
      <c r="BQ21" s="38" t="str">
        <f t="shared" si="12"/>
        <v>dWX</v>
      </c>
    </row>
    <row r="22" spans="1:69" ht="15.6" x14ac:dyDescent="0.3">
      <c r="A22" s="124"/>
      <c r="B22" s="397">
        <f>IF(ISBLANK(HLOOKUP($F$10,spelerslijsten!$B$1:$J$22,20,FALSE)),"",HLOOKUP($F$10,spelerslijsten!$B$1:$J$22,20,FALSE))</f>
        <v>11</v>
      </c>
      <c r="C22" s="398"/>
      <c r="D22" s="121"/>
      <c r="E22" s="122" t="str">
        <f>IF(ISBLANK(HLOOKUP($F$10,spelerslijsten!$B$1:$J$22,19,FALSE)),"",HLOOKUP($F$10,spelerslijsten!$B$1:$J$22,19,FALSE))</f>
        <v>Stefan Hermens</v>
      </c>
      <c r="F22" s="12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08">
        <f t="shared" ref="V22:V23" si="22">SUMIF($AY$13:$AY$46,AT22,$BC$13:$BC$46)</f>
        <v>0</v>
      </c>
      <c r="W22" s="109" t="str">
        <f t="shared" si="13"/>
        <v/>
      </c>
      <c r="X22" s="110" t="str">
        <f t="shared" si="14"/>
        <v/>
      </c>
      <c r="Y22" s="103" t="str">
        <f t="shared" si="15"/>
        <v/>
      </c>
      <c r="Z22" s="111">
        <v>1</v>
      </c>
      <c r="AA22" s="112">
        <v>3</v>
      </c>
      <c r="AB22" s="113" t="str">
        <f t="shared" si="16"/>
        <v>-</v>
      </c>
      <c r="AC22" s="112">
        <v>4</v>
      </c>
      <c r="AD22" s="114">
        <v>7</v>
      </c>
      <c r="AE22" s="115"/>
      <c r="AF22" s="115"/>
      <c r="AG22" s="116" t="s">
        <v>265</v>
      </c>
      <c r="AH22" s="117"/>
      <c r="AI22" s="117"/>
      <c r="AJ22" s="342" t="s">
        <v>18</v>
      </c>
      <c r="AK22" s="343"/>
      <c r="AL22" s="346">
        <v>4</v>
      </c>
      <c r="AM22" s="347"/>
      <c r="AN22" s="118"/>
      <c r="AO22" s="101">
        <f t="shared" si="19"/>
        <v>7</v>
      </c>
      <c r="AP22" s="113" t="str">
        <f t="shared" si="20"/>
        <v>-</v>
      </c>
      <c r="AQ22" s="119"/>
      <c r="AR22" s="103">
        <f t="shared" si="21"/>
        <v>3</v>
      </c>
      <c r="AT22" s="38" t="str">
        <f t="shared" si="17"/>
        <v>W11</v>
      </c>
      <c r="AU22" s="38">
        <f t="shared" si="18"/>
        <v>0</v>
      </c>
      <c r="AY22" s="38" t="str">
        <f t="shared" si="1"/>
        <v>B4</v>
      </c>
      <c r="AZ22" s="38" t="str">
        <f t="shared" si="2"/>
        <v>0</v>
      </c>
      <c r="BA22" s="38" t="str">
        <f t="shared" si="3"/>
        <v>1</v>
      </c>
      <c r="BB22" s="38" t="str">
        <f t="shared" si="4"/>
        <v>0</v>
      </c>
      <c r="BC22" s="38">
        <f t="shared" si="5"/>
        <v>1</v>
      </c>
      <c r="BD22" s="38">
        <f t="shared" si="6"/>
        <v>0</v>
      </c>
      <c r="BL22" s="38" t="str">
        <f t="shared" si="7"/>
        <v/>
      </c>
      <c r="BM22" s="38" t="str">
        <f t="shared" si="8"/>
        <v>dBX</v>
      </c>
      <c r="BN22" s="38" t="str">
        <f t="shared" si="9"/>
        <v/>
      </c>
      <c r="BO22" s="38" t="str">
        <f t="shared" si="10"/>
        <v/>
      </c>
      <c r="BP22" s="38" t="str">
        <f t="shared" si="11"/>
        <v/>
      </c>
      <c r="BQ22" s="38" t="str">
        <f t="shared" si="12"/>
        <v>dBX</v>
      </c>
    </row>
    <row r="23" spans="1:69" ht="15.6" x14ac:dyDescent="0.3">
      <c r="A23" s="125"/>
      <c r="B23" s="397" t="str">
        <f>IF(ISBLANK(HLOOKUP($F$10,spelerslijsten!$B$1:$J$22,22,FALSE)),"",HLOOKUP($F$10,spelerslijsten!$B$1:$J$22,22,FALSE))</f>
        <v/>
      </c>
      <c r="C23" s="398"/>
      <c r="D23" s="126"/>
      <c r="E23" s="259" t="str">
        <f>IF(ISBLANK(HLOOKUP($F$10,spelerslijsten!$B$1:$J$22,21,FALSE)),"",HLOOKUP($F$10,spelerslijsten!$B$1:$J$22,21,FALSE))</f>
        <v/>
      </c>
      <c r="F23" s="126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08">
        <f t="shared" si="22"/>
        <v>0</v>
      </c>
      <c r="W23" s="109" t="str">
        <f t="shared" si="13"/>
        <v/>
      </c>
      <c r="X23" s="110" t="str">
        <f t="shared" si="14"/>
        <v/>
      </c>
      <c r="Y23" s="103" t="str">
        <f t="shared" si="15"/>
        <v/>
      </c>
      <c r="Z23" s="111"/>
      <c r="AA23" s="112"/>
      <c r="AB23" s="113" t="str">
        <f t="shared" si="16"/>
        <v>-</v>
      </c>
      <c r="AC23" s="112"/>
      <c r="AD23" s="114"/>
      <c r="AE23" s="115"/>
      <c r="AF23" s="115"/>
      <c r="AG23" s="116"/>
      <c r="AH23" s="117"/>
      <c r="AI23" s="117"/>
      <c r="AJ23" s="342"/>
      <c r="AK23" s="343"/>
      <c r="AL23" s="346"/>
      <c r="AM23" s="347"/>
      <c r="AN23" s="118"/>
      <c r="AO23" s="101" t="str">
        <f t="shared" si="19"/>
        <v/>
      </c>
      <c r="AP23" s="113" t="str">
        <f t="shared" si="20"/>
        <v>-</v>
      </c>
      <c r="AQ23" s="119"/>
      <c r="AR23" s="103" t="str">
        <f t="shared" si="21"/>
        <v/>
      </c>
      <c r="AT23" s="38" t="str">
        <f t="shared" si="17"/>
        <v>W</v>
      </c>
      <c r="AU23" s="38">
        <f t="shared" si="18"/>
        <v>0</v>
      </c>
      <c r="AY23" s="38" t="str">
        <f t="shared" si="1"/>
        <v/>
      </c>
      <c r="AZ23" s="38" t="str">
        <f t="shared" si="2"/>
        <v>0</v>
      </c>
      <c r="BA23" s="38" t="str">
        <f t="shared" si="3"/>
        <v>0</v>
      </c>
      <c r="BB23" s="38" t="str">
        <f t="shared" si="4"/>
        <v>0</v>
      </c>
      <c r="BC23" s="38">
        <f t="shared" si="5"/>
        <v>0</v>
      </c>
      <c r="BD23" s="38">
        <f t="shared" si="6"/>
        <v>0</v>
      </c>
      <c r="BL23" s="38" t="str">
        <f t="shared" si="7"/>
        <v/>
      </c>
      <c r="BM23" s="38" t="str">
        <f t="shared" si="8"/>
        <v/>
      </c>
      <c r="BN23" s="38" t="str">
        <f t="shared" si="9"/>
        <v/>
      </c>
      <c r="BO23" s="38" t="str">
        <f t="shared" si="10"/>
        <v/>
      </c>
      <c r="BP23" s="38" t="str">
        <f t="shared" si="11"/>
        <v/>
      </c>
      <c r="BQ23" s="38" t="str">
        <f t="shared" si="12"/>
        <v/>
      </c>
    </row>
    <row r="24" spans="1:69" ht="16.2" thickBot="1" x14ac:dyDescent="0.35">
      <c r="A24" s="71" t="s">
        <v>67</v>
      </c>
      <c r="B24" s="72"/>
      <c r="C24" s="72"/>
      <c r="D24" s="72"/>
      <c r="E24" s="72"/>
      <c r="F24" s="72"/>
      <c r="G24" s="72"/>
      <c r="I24" s="399">
        <f>HLOOKUP(F10,spelerslijsten!B1:J25,25,FALSE)</f>
        <v>5</v>
      </c>
      <c r="J24" s="400"/>
      <c r="K24" s="74" t="s">
        <v>23</v>
      </c>
      <c r="L24" s="72"/>
      <c r="M24" s="72"/>
      <c r="N24" s="129" t="str">
        <f>HLOOKUP(F10,spelerslijsten!B1:J25,23,FALSE)</f>
        <v>Luuk Muskens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30"/>
      <c r="Z24" s="131"/>
      <c r="AA24" s="132"/>
      <c r="AB24" s="133" t="str">
        <f t="shared" si="16"/>
        <v>-</v>
      </c>
      <c r="AC24" s="132"/>
      <c r="AD24" s="134"/>
      <c r="AE24" s="135"/>
      <c r="AF24" s="135"/>
      <c r="AG24" s="136"/>
      <c r="AH24" s="137"/>
      <c r="AI24" s="137"/>
      <c r="AJ24" s="342"/>
      <c r="AK24" s="343"/>
      <c r="AL24" s="350"/>
      <c r="AM24" s="351"/>
      <c r="AN24" s="138"/>
      <c r="AO24" s="101" t="str">
        <f t="shared" si="19"/>
        <v/>
      </c>
      <c r="AP24" s="113" t="str">
        <f t="shared" si="20"/>
        <v>-</v>
      </c>
      <c r="AQ24" s="119"/>
      <c r="AR24" s="103" t="str">
        <f t="shared" si="21"/>
        <v/>
      </c>
      <c r="AY24" s="38" t="str">
        <f t="shared" si="1"/>
        <v/>
      </c>
      <c r="AZ24" s="38" t="str">
        <f t="shared" si="2"/>
        <v>0</v>
      </c>
      <c r="BA24" s="38" t="str">
        <f t="shared" si="3"/>
        <v>0</v>
      </c>
      <c r="BB24" s="38" t="str">
        <f t="shared" si="4"/>
        <v>0</v>
      </c>
      <c r="BC24" s="38">
        <f t="shared" si="5"/>
        <v>0</v>
      </c>
      <c r="BD24" s="38">
        <f t="shared" si="6"/>
        <v>0</v>
      </c>
      <c r="BL24" s="38" t="str">
        <f t="shared" si="7"/>
        <v/>
      </c>
      <c r="BM24" s="38" t="str">
        <f t="shared" si="8"/>
        <v/>
      </c>
      <c r="BN24" s="38" t="str">
        <f t="shared" si="9"/>
        <v/>
      </c>
      <c r="BO24" s="38" t="str">
        <f t="shared" si="10"/>
        <v/>
      </c>
      <c r="BP24" s="38" t="str">
        <f t="shared" si="11"/>
        <v/>
      </c>
      <c r="BQ24" s="38" t="str">
        <f t="shared" si="12"/>
        <v/>
      </c>
    </row>
    <row r="25" spans="1:69" ht="15" customHeight="1" x14ac:dyDescent="0.3">
      <c r="A25" s="78" t="s">
        <v>60</v>
      </c>
      <c r="B25" s="79"/>
      <c r="C25" s="79"/>
      <c r="D25" s="79"/>
      <c r="E25" s="79"/>
      <c r="F25" s="356" t="str">
        <f>+AC7</f>
        <v>VZ&amp;PC Nautilus 2</v>
      </c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7"/>
      <c r="Z25" s="139"/>
      <c r="AA25" s="140"/>
      <c r="AB25" s="141" t="str">
        <f t="shared" si="16"/>
        <v>-</v>
      </c>
      <c r="AC25" s="140"/>
      <c r="AD25" s="142"/>
      <c r="AE25" s="143"/>
      <c r="AF25" s="143"/>
      <c r="AG25" s="144"/>
      <c r="AH25" s="145"/>
      <c r="AI25" s="145"/>
      <c r="AJ25" s="342"/>
      <c r="AK25" s="343"/>
      <c r="AL25" s="346"/>
      <c r="AM25" s="347"/>
      <c r="AN25" s="146"/>
      <c r="AO25" s="101" t="str">
        <f t="shared" si="19"/>
        <v/>
      </c>
      <c r="AP25" s="113" t="str">
        <f t="shared" si="20"/>
        <v>-</v>
      </c>
      <c r="AQ25" s="119"/>
      <c r="AR25" s="103" t="str">
        <f t="shared" si="21"/>
        <v/>
      </c>
      <c r="AY25" s="38" t="str">
        <f t="shared" si="1"/>
        <v/>
      </c>
      <c r="AZ25" s="38" t="str">
        <f t="shared" si="2"/>
        <v>0</v>
      </c>
      <c r="BA25" s="38" t="str">
        <f t="shared" si="3"/>
        <v>0</v>
      </c>
      <c r="BB25" s="38" t="str">
        <f t="shared" si="4"/>
        <v>0</v>
      </c>
      <c r="BC25" s="38">
        <f t="shared" si="5"/>
        <v>0</v>
      </c>
      <c r="BD25" s="38">
        <f t="shared" si="6"/>
        <v>0</v>
      </c>
      <c r="BL25" s="38" t="str">
        <f t="shared" si="7"/>
        <v/>
      </c>
      <c r="BM25" s="38" t="str">
        <f t="shared" si="8"/>
        <v/>
      </c>
      <c r="BN25" s="38" t="str">
        <f t="shared" si="9"/>
        <v/>
      </c>
      <c r="BO25" s="38" t="str">
        <f t="shared" si="10"/>
        <v/>
      </c>
      <c r="BP25" s="38" t="str">
        <f t="shared" si="11"/>
        <v/>
      </c>
      <c r="BQ25" s="38" t="str">
        <f t="shared" si="12"/>
        <v/>
      </c>
    </row>
    <row r="26" spans="1:69" ht="15" customHeight="1" x14ac:dyDescent="0.3">
      <c r="A26" s="393" t="s">
        <v>24</v>
      </c>
      <c r="B26" s="394"/>
      <c r="C26" s="394"/>
      <c r="D26" s="394"/>
      <c r="E26" s="81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9"/>
      <c r="Z26" s="139"/>
      <c r="AA26" s="140"/>
      <c r="AB26" s="141" t="s">
        <v>16</v>
      </c>
      <c r="AC26" s="140"/>
      <c r="AD26" s="142"/>
      <c r="AE26" s="143"/>
      <c r="AF26" s="143"/>
      <c r="AG26" s="144"/>
      <c r="AH26" s="145"/>
      <c r="AI26" s="145"/>
      <c r="AJ26" s="342"/>
      <c r="AK26" s="343"/>
      <c r="AL26" s="346"/>
      <c r="AM26" s="347"/>
      <c r="AN26" s="146"/>
      <c r="AO26" s="101" t="str">
        <f t="shared" si="19"/>
        <v/>
      </c>
      <c r="AP26" s="113" t="str">
        <f t="shared" si="20"/>
        <v>-</v>
      </c>
      <c r="AQ26" s="119"/>
      <c r="AR26" s="103" t="str">
        <f t="shared" si="21"/>
        <v/>
      </c>
      <c r="AY26" s="38" t="str">
        <f t="shared" si="1"/>
        <v/>
      </c>
      <c r="AZ26" s="38" t="str">
        <f t="shared" si="2"/>
        <v>0</v>
      </c>
      <c r="BA26" s="38" t="str">
        <f t="shared" si="3"/>
        <v>0</v>
      </c>
      <c r="BB26" s="38" t="str">
        <f t="shared" si="4"/>
        <v>0</v>
      </c>
      <c r="BC26" s="38">
        <f t="shared" si="5"/>
        <v>0</v>
      </c>
      <c r="BD26" s="38">
        <f t="shared" si="6"/>
        <v>0</v>
      </c>
      <c r="BL26" s="38" t="str">
        <f t="shared" si="7"/>
        <v/>
      </c>
      <c r="BM26" s="38" t="str">
        <f t="shared" si="8"/>
        <v/>
      </c>
      <c r="BN26" s="38" t="str">
        <f t="shared" si="9"/>
        <v/>
      </c>
      <c r="BO26" s="38" t="str">
        <f t="shared" si="10"/>
        <v/>
      </c>
      <c r="BP26" s="38" t="str">
        <f t="shared" si="11"/>
        <v/>
      </c>
      <c r="BQ26" s="38" t="str">
        <f t="shared" si="12"/>
        <v/>
      </c>
    </row>
    <row r="27" spans="1:69" ht="15.6" x14ac:dyDescent="0.3">
      <c r="A27" s="393"/>
      <c r="B27" s="394"/>
      <c r="C27" s="394"/>
      <c r="D27" s="394"/>
      <c r="E27" s="81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9"/>
      <c r="Z27" s="139"/>
      <c r="AA27" s="140"/>
      <c r="AB27" s="141" t="s">
        <v>16</v>
      </c>
      <c r="AC27" s="140"/>
      <c r="AD27" s="142"/>
      <c r="AE27" s="143"/>
      <c r="AF27" s="143"/>
      <c r="AG27" s="144"/>
      <c r="AH27" s="145"/>
      <c r="AI27" s="145"/>
      <c r="AJ27" s="342"/>
      <c r="AK27" s="343"/>
      <c r="AL27" s="346"/>
      <c r="AM27" s="347"/>
      <c r="AN27" s="146"/>
      <c r="AO27" s="101" t="str">
        <f t="shared" si="19"/>
        <v/>
      </c>
      <c r="AP27" s="113" t="str">
        <f t="shared" si="20"/>
        <v>-</v>
      </c>
      <c r="AQ27" s="119"/>
      <c r="AR27" s="103" t="str">
        <f t="shared" si="21"/>
        <v/>
      </c>
      <c r="AY27" s="38" t="str">
        <f t="shared" si="1"/>
        <v/>
      </c>
      <c r="AZ27" s="38" t="str">
        <f t="shared" si="2"/>
        <v>0</v>
      </c>
      <c r="BA27" s="38" t="str">
        <f t="shared" si="3"/>
        <v>0</v>
      </c>
      <c r="BB27" s="38" t="str">
        <f t="shared" si="4"/>
        <v>0</v>
      </c>
      <c r="BC27" s="38">
        <f t="shared" si="5"/>
        <v>0</v>
      </c>
      <c r="BD27" s="38">
        <f t="shared" si="6"/>
        <v>0</v>
      </c>
      <c r="BL27" s="38" t="str">
        <f t="shared" si="7"/>
        <v/>
      </c>
      <c r="BM27" s="38" t="str">
        <f t="shared" si="8"/>
        <v/>
      </c>
      <c r="BN27" s="38" t="str">
        <f t="shared" si="9"/>
        <v/>
      </c>
      <c r="BO27" s="38" t="str">
        <f t="shared" si="10"/>
        <v/>
      </c>
      <c r="BP27" s="38" t="str">
        <f t="shared" si="11"/>
        <v/>
      </c>
      <c r="BQ27" s="38" t="str">
        <f t="shared" si="12"/>
        <v/>
      </c>
    </row>
    <row r="28" spans="1:69" ht="15.6" x14ac:dyDescent="0.3">
      <c r="A28" s="395"/>
      <c r="B28" s="396"/>
      <c r="C28" s="396"/>
      <c r="D28" s="396"/>
      <c r="E28" s="81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1"/>
      <c r="Z28" s="147"/>
      <c r="AA28" s="140"/>
      <c r="AB28" s="148" t="str">
        <f>+AB25</f>
        <v>-</v>
      </c>
      <c r="AC28" s="140"/>
      <c r="AD28" s="142"/>
      <c r="AE28" s="143"/>
      <c r="AF28" s="143"/>
      <c r="AG28" s="144"/>
      <c r="AH28" s="145"/>
      <c r="AI28" s="145"/>
      <c r="AJ28" s="342"/>
      <c r="AK28" s="343"/>
      <c r="AL28" s="346"/>
      <c r="AM28" s="347"/>
      <c r="AN28" s="146"/>
      <c r="AO28" s="101" t="str">
        <f t="shared" si="19"/>
        <v/>
      </c>
      <c r="AP28" s="113" t="str">
        <f t="shared" si="20"/>
        <v>-</v>
      </c>
      <c r="AQ28" s="119"/>
      <c r="AR28" s="103" t="str">
        <f t="shared" si="21"/>
        <v/>
      </c>
      <c r="AY28" s="38" t="str">
        <f t="shared" si="1"/>
        <v/>
      </c>
      <c r="AZ28" s="38" t="str">
        <f t="shared" si="2"/>
        <v>0</v>
      </c>
      <c r="BA28" s="38" t="str">
        <f t="shared" si="3"/>
        <v>0</v>
      </c>
      <c r="BB28" s="38" t="str">
        <f t="shared" si="4"/>
        <v>0</v>
      </c>
      <c r="BC28" s="38">
        <f t="shared" si="5"/>
        <v>0</v>
      </c>
      <c r="BD28" s="38">
        <f t="shared" si="6"/>
        <v>0</v>
      </c>
      <c r="BL28" s="38" t="str">
        <f t="shared" si="7"/>
        <v/>
      </c>
      <c r="BM28" s="38" t="str">
        <f t="shared" si="8"/>
        <v/>
      </c>
      <c r="BN28" s="38" t="str">
        <f t="shared" si="9"/>
        <v/>
      </c>
      <c r="BO28" s="38" t="str">
        <f t="shared" si="10"/>
        <v/>
      </c>
      <c r="BP28" s="38" t="str">
        <f t="shared" si="11"/>
        <v/>
      </c>
      <c r="BQ28" s="38" t="str">
        <f t="shared" si="12"/>
        <v/>
      </c>
    </row>
    <row r="29" spans="1:69" ht="15.6" x14ac:dyDescent="0.3">
      <c r="A29" s="86" t="s">
        <v>0</v>
      </c>
      <c r="B29" s="87" t="s">
        <v>1</v>
      </c>
      <c r="C29" s="64"/>
      <c r="D29" s="89"/>
      <c r="E29" s="88" t="s">
        <v>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90"/>
      <c r="V29" s="91" t="s">
        <v>3</v>
      </c>
      <c r="W29" s="91" t="s">
        <v>4</v>
      </c>
      <c r="X29" s="91" t="s">
        <v>5</v>
      </c>
      <c r="Y29" s="92" t="s">
        <v>6</v>
      </c>
      <c r="Z29" s="111"/>
      <c r="AA29" s="149"/>
      <c r="AB29" s="150" t="str">
        <f t="shared" si="16"/>
        <v>-</v>
      </c>
      <c r="AC29" s="149"/>
      <c r="AD29" s="151"/>
      <c r="AE29" s="152"/>
      <c r="AF29" s="152"/>
      <c r="AG29" s="153"/>
      <c r="AH29" s="154"/>
      <c r="AI29" s="154"/>
      <c r="AJ29" s="342"/>
      <c r="AK29" s="343"/>
      <c r="AL29" s="348"/>
      <c r="AM29" s="349"/>
      <c r="AN29" s="155"/>
      <c r="AO29" s="101" t="str">
        <f t="shared" si="19"/>
        <v/>
      </c>
      <c r="AP29" s="113" t="str">
        <f t="shared" si="20"/>
        <v>-</v>
      </c>
      <c r="AQ29" s="119"/>
      <c r="AR29" s="103" t="str">
        <f t="shared" si="21"/>
        <v/>
      </c>
      <c r="AY29" s="38" t="str">
        <f t="shared" si="1"/>
        <v/>
      </c>
      <c r="AZ29" s="38" t="str">
        <f t="shared" si="2"/>
        <v>0</v>
      </c>
      <c r="BA29" s="38" t="str">
        <f t="shared" si="3"/>
        <v>0</v>
      </c>
      <c r="BB29" s="38" t="str">
        <f t="shared" si="4"/>
        <v>0</v>
      </c>
      <c r="BC29" s="38">
        <f t="shared" si="5"/>
        <v>0</v>
      </c>
      <c r="BD29" s="38">
        <f t="shared" si="6"/>
        <v>0</v>
      </c>
      <c r="BL29" s="38" t="str">
        <f t="shared" si="7"/>
        <v/>
      </c>
      <c r="BM29" s="38" t="str">
        <f t="shared" si="8"/>
        <v/>
      </c>
      <c r="BN29" s="38" t="str">
        <f t="shared" si="9"/>
        <v/>
      </c>
      <c r="BO29" s="38" t="str">
        <f t="shared" si="10"/>
        <v/>
      </c>
      <c r="BP29" s="38" t="str">
        <f t="shared" si="11"/>
        <v/>
      </c>
      <c r="BQ29" s="38" t="str">
        <f t="shared" si="12"/>
        <v/>
      </c>
    </row>
    <row r="30" spans="1:69" ht="15.6" x14ac:dyDescent="0.3">
      <c r="A30" s="104" t="s">
        <v>265</v>
      </c>
      <c r="B30" s="397">
        <f>IF(ISBLANK(HLOOKUP($F$25,spelerslijsten!$B$1:$J$22,4,FALSE)),"",HLOOKUP($F$25,spelerslijsten!$B$1:$J$22,4,FALSE))</f>
        <v>2</v>
      </c>
      <c r="C30" s="398"/>
      <c r="D30" s="105"/>
      <c r="E30" s="106" t="str">
        <f>IF(ISBLANK(HLOOKUP($F$25,spelerslijsten!$B$1:$J$22,3,FALSE)),"",HLOOKUP($F$25,spelerslijsten!$B$1:$J$22,3,FALSE))</f>
        <v>Willy van Grunsven</v>
      </c>
      <c r="F30" s="105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8">
        <f t="shared" ref="V30:V39" si="23">SUMIF($AY$13:$AY$46,AT30,$BC$13:$BC$46)</f>
        <v>0</v>
      </c>
      <c r="W30" s="109" t="str">
        <f>IF(AU30&gt;0,"x","")</f>
        <v/>
      </c>
      <c r="X30" s="110" t="str">
        <f>IF(AU30&gt;1,"x","")</f>
        <v/>
      </c>
      <c r="Y30" s="103" t="str">
        <f>IF(AU30&gt;2,"x","")</f>
        <v/>
      </c>
      <c r="Z30" s="111"/>
      <c r="AA30" s="112"/>
      <c r="AB30" s="113" t="str">
        <f t="shared" si="16"/>
        <v>-</v>
      </c>
      <c r="AC30" s="112"/>
      <c r="AD30" s="114"/>
      <c r="AE30" s="115"/>
      <c r="AF30" s="115"/>
      <c r="AG30" s="116"/>
      <c r="AH30" s="117"/>
      <c r="AI30" s="117"/>
      <c r="AJ30" s="342"/>
      <c r="AK30" s="343"/>
      <c r="AL30" s="346"/>
      <c r="AM30" s="347"/>
      <c r="AN30" s="118"/>
      <c r="AO30" s="101" t="str">
        <f t="shared" si="19"/>
        <v/>
      </c>
      <c r="AP30" s="113" t="str">
        <f t="shared" si="20"/>
        <v>-</v>
      </c>
      <c r="AQ30" s="119"/>
      <c r="AR30" s="103" t="str">
        <f t="shared" si="21"/>
        <v/>
      </c>
      <c r="AT30" s="38" t="str">
        <f>CONCATENATE($AV$11&amp;B30)</f>
        <v>B2</v>
      </c>
      <c r="AU30" s="38">
        <f t="shared" si="18"/>
        <v>0</v>
      </c>
      <c r="AY30" s="38" t="str">
        <f t="shared" si="1"/>
        <v/>
      </c>
      <c r="AZ30" s="38" t="str">
        <f t="shared" si="2"/>
        <v>0</v>
      </c>
      <c r="BA30" s="38" t="str">
        <f t="shared" si="3"/>
        <v>0</v>
      </c>
      <c r="BB30" s="38" t="str">
        <f t="shared" si="4"/>
        <v>0</v>
      </c>
      <c r="BC30" s="38">
        <f t="shared" si="5"/>
        <v>0</v>
      </c>
      <c r="BD30" s="38">
        <f t="shared" si="6"/>
        <v>0</v>
      </c>
      <c r="BL30" s="38" t="str">
        <f t="shared" si="7"/>
        <v/>
      </c>
      <c r="BM30" s="38" t="str">
        <f t="shared" si="8"/>
        <v/>
      </c>
      <c r="BN30" s="38" t="str">
        <f t="shared" si="9"/>
        <v/>
      </c>
      <c r="BO30" s="38" t="str">
        <f t="shared" si="10"/>
        <v/>
      </c>
      <c r="BP30" s="38" t="str">
        <f t="shared" si="11"/>
        <v/>
      </c>
      <c r="BQ30" s="38" t="str">
        <f t="shared" si="12"/>
        <v/>
      </c>
    </row>
    <row r="31" spans="1:69" ht="15.6" x14ac:dyDescent="0.3">
      <c r="A31" s="120" t="s">
        <v>265</v>
      </c>
      <c r="B31" s="397">
        <f>IF(ISBLANK(HLOOKUP($F$25,spelerslijsten!$B$1:$J$22,6,FALSE)),"",HLOOKUP($F$25,spelerslijsten!$B$1:$J$22,6,FALSE))</f>
        <v>3</v>
      </c>
      <c r="C31" s="398"/>
      <c r="D31" s="121"/>
      <c r="E31" s="122" t="str">
        <f>IF(ISBLANK(HLOOKUP($F$25,spelerslijsten!$B$1:$J$22,5,FALSE)),"",HLOOKUP($F$25,spelerslijsten!$B$1:$J$22,5,FALSE))</f>
        <v>Manuel Bastiaans</v>
      </c>
      <c r="F31" s="12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08">
        <f t="shared" si="23"/>
        <v>0</v>
      </c>
      <c r="W31" s="109" t="str">
        <f t="shared" ref="W31:W39" si="24">IF(AU31&gt;0,"x","")</f>
        <v/>
      </c>
      <c r="X31" s="110" t="str">
        <f t="shared" ref="X31:X39" si="25">IF(AU31&gt;1,"x","")</f>
        <v/>
      </c>
      <c r="Y31" s="103" t="str">
        <f t="shared" ref="Y31:Y39" si="26">IF(AU31&gt;2,"x","")</f>
        <v/>
      </c>
      <c r="Z31" s="111"/>
      <c r="AA31" s="112"/>
      <c r="AB31" s="113" t="str">
        <f t="shared" si="16"/>
        <v>-</v>
      </c>
      <c r="AC31" s="112"/>
      <c r="AD31" s="114"/>
      <c r="AE31" s="115"/>
      <c r="AF31" s="115"/>
      <c r="AG31" s="116"/>
      <c r="AH31" s="117"/>
      <c r="AI31" s="117"/>
      <c r="AJ31" s="342"/>
      <c r="AK31" s="343"/>
      <c r="AL31" s="346"/>
      <c r="AM31" s="347"/>
      <c r="AN31" s="118"/>
      <c r="AO31" s="101" t="str">
        <f t="shared" si="19"/>
        <v/>
      </c>
      <c r="AP31" s="113" t="str">
        <f t="shared" si="20"/>
        <v>-</v>
      </c>
      <c r="AQ31" s="119"/>
      <c r="AR31" s="103" t="str">
        <f t="shared" si="21"/>
        <v/>
      </c>
      <c r="AT31" s="38" t="str">
        <f t="shared" ref="AT31:AT39" si="27">CONCATENATE($AV$11&amp;B31)</f>
        <v>B3</v>
      </c>
      <c r="AU31" s="38">
        <f t="shared" si="18"/>
        <v>0</v>
      </c>
      <c r="AY31" s="38" t="str">
        <f t="shared" si="1"/>
        <v/>
      </c>
      <c r="AZ31" s="38" t="str">
        <f t="shared" si="2"/>
        <v>0</v>
      </c>
      <c r="BA31" s="38" t="str">
        <f t="shared" si="3"/>
        <v>0</v>
      </c>
      <c r="BB31" s="38" t="str">
        <f t="shared" si="4"/>
        <v>0</v>
      </c>
      <c r="BC31" s="38">
        <f t="shared" si="5"/>
        <v>0</v>
      </c>
      <c r="BD31" s="38">
        <f t="shared" si="6"/>
        <v>0</v>
      </c>
      <c r="BL31" s="38" t="str">
        <f t="shared" si="7"/>
        <v/>
      </c>
      <c r="BM31" s="38" t="str">
        <f t="shared" si="8"/>
        <v/>
      </c>
      <c r="BN31" s="38" t="str">
        <f t="shared" si="9"/>
        <v/>
      </c>
      <c r="BO31" s="38" t="str">
        <f t="shared" si="10"/>
        <v/>
      </c>
      <c r="BP31" s="38" t="str">
        <f t="shared" si="11"/>
        <v/>
      </c>
      <c r="BQ31" s="38" t="str">
        <f t="shared" si="12"/>
        <v/>
      </c>
    </row>
    <row r="32" spans="1:69" ht="15.6" x14ac:dyDescent="0.3">
      <c r="A32" s="124" t="s">
        <v>265</v>
      </c>
      <c r="B32" s="397">
        <f>IF(ISBLANK(HLOOKUP($F$25,spelerslijsten!$B$1:$J$22,8,FALSE)),"",HLOOKUP($F$25,spelerslijsten!$B$1:$J$22,8,FALSE))</f>
        <v>4</v>
      </c>
      <c r="C32" s="398"/>
      <c r="D32" s="121"/>
      <c r="E32" s="122" t="str">
        <f>IF(ISBLANK(HLOOKUP($F$25,spelerslijsten!$B$1:$J$22,7,FALSE)),"",HLOOKUP($F$25,spelerslijsten!$B$1:$J$22,7,FALSE))</f>
        <v>Marga Schouten</v>
      </c>
      <c r="F32" s="12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08">
        <f t="shared" si="23"/>
        <v>1</v>
      </c>
      <c r="W32" s="109" t="str">
        <f t="shared" si="24"/>
        <v/>
      </c>
      <c r="X32" s="110" t="str">
        <f t="shared" si="25"/>
        <v/>
      </c>
      <c r="Y32" s="103" t="str">
        <f t="shared" si="26"/>
        <v/>
      </c>
      <c r="Z32" s="111"/>
      <c r="AA32" s="112"/>
      <c r="AB32" s="113" t="str">
        <f t="shared" si="16"/>
        <v>-</v>
      </c>
      <c r="AC32" s="112"/>
      <c r="AD32" s="114"/>
      <c r="AE32" s="115"/>
      <c r="AF32" s="115"/>
      <c r="AG32" s="116"/>
      <c r="AH32" s="117"/>
      <c r="AI32" s="117"/>
      <c r="AJ32" s="342"/>
      <c r="AK32" s="343"/>
      <c r="AL32" s="346"/>
      <c r="AM32" s="347"/>
      <c r="AN32" s="118"/>
      <c r="AO32" s="101" t="str">
        <f t="shared" si="19"/>
        <v/>
      </c>
      <c r="AP32" s="113" t="str">
        <f t="shared" si="20"/>
        <v>-</v>
      </c>
      <c r="AQ32" s="119"/>
      <c r="AR32" s="103" t="str">
        <f t="shared" si="21"/>
        <v/>
      </c>
      <c r="AT32" s="38" t="str">
        <f t="shared" si="27"/>
        <v>B4</v>
      </c>
      <c r="AU32" s="38">
        <f t="shared" si="18"/>
        <v>0</v>
      </c>
      <c r="AY32" s="38" t="str">
        <f t="shared" si="1"/>
        <v/>
      </c>
      <c r="AZ32" s="38" t="str">
        <f t="shared" si="2"/>
        <v>0</v>
      </c>
      <c r="BA32" s="38" t="str">
        <f t="shared" si="3"/>
        <v>0</v>
      </c>
      <c r="BB32" s="38" t="str">
        <f t="shared" si="4"/>
        <v>0</v>
      </c>
      <c r="BC32" s="38">
        <f t="shared" si="5"/>
        <v>0</v>
      </c>
      <c r="BD32" s="38">
        <f t="shared" si="6"/>
        <v>0</v>
      </c>
      <c r="BL32" s="38" t="str">
        <f t="shared" si="7"/>
        <v/>
      </c>
      <c r="BM32" s="38" t="str">
        <f t="shared" si="8"/>
        <v/>
      </c>
      <c r="BN32" s="38" t="str">
        <f t="shared" si="9"/>
        <v/>
      </c>
      <c r="BO32" s="38" t="str">
        <f t="shared" si="10"/>
        <v/>
      </c>
      <c r="BP32" s="38" t="str">
        <f t="shared" si="11"/>
        <v/>
      </c>
      <c r="BQ32" s="38" t="str">
        <f t="shared" si="12"/>
        <v/>
      </c>
    </row>
    <row r="33" spans="1:69" ht="15.6" x14ac:dyDescent="0.3">
      <c r="A33" s="124" t="s">
        <v>265</v>
      </c>
      <c r="B33" s="397">
        <f>IF(ISBLANK(HLOOKUP($F$25,spelerslijsten!$B$1:$J$22,10,FALSE)),"",HLOOKUP($F$25,spelerslijsten!$B$1:$J$22,10,FALSE))</f>
        <v>6</v>
      </c>
      <c r="C33" s="398"/>
      <c r="D33" s="121"/>
      <c r="E33" s="122" t="str">
        <f>IF(ISBLANK(HLOOKUP($F$25,spelerslijsten!$B$1:$J$22,9,FALSE)),"",HLOOKUP($F$25,spelerslijsten!$B$1:$J$22,9,FALSE))</f>
        <v>Anja Braken</v>
      </c>
      <c r="F33" s="12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08">
        <f t="shared" si="23"/>
        <v>0</v>
      </c>
      <c r="W33" s="109" t="str">
        <f t="shared" si="24"/>
        <v/>
      </c>
      <c r="X33" s="110" t="str">
        <f t="shared" si="25"/>
        <v/>
      </c>
      <c r="Y33" s="103" t="str">
        <f t="shared" si="26"/>
        <v/>
      </c>
      <c r="Z33" s="111"/>
      <c r="AA33" s="112"/>
      <c r="AB33" s="113" t="str">
        <f t="shared" si="16"/>
        <v>-</v>
      </c>
      <c r="AC33" s="112"/>
      <c r="AD33" s="114"/>
      <c r="AE33" s="115"/>
      <c r="AF33" s="115"/>
      <c r="AG33" s="116"/>
      <c r="AH33" s="117"/>
      <c r="AI33" s="117"/>
      <c r="AJ33" s="342"/>
      <c r="AK33" s="343"/>
      <c r="AL33" s="346"/>
      <c r="AM33" s="347"/>
      <c r="AN33" s="118"/>
      <c r="AO33" s="101" t="str">
        <f t="shared" si="19"/>
        <v/>
      </c>
      <c r="AP33" s="113" t="str">
        <f t="shared" si="20"/>
        <v>-</v>
      </c>
      <c r="AQ33" s="119"/>
      <c r="AR33" s="103" t="str">
        <f t="shared" si="21"/>
        <v/>
      </c>
      <c r="AT33" s="38" t="str">
        <f t="shared" si="27"/>
        <v>B6</v>
      </c>
      <c r="AU33" s="38">
        <f t="shared" si="18"/>
        <v>0</v>
      </c>
      <c r="AY33" s="38" t="str">
        <f t="shared" si="1"/>
        <v/>
      </c>
      <c r="AZ33" s="38" t="str">
        <f t="shared" si="2"/>
        <v>0</v>
      </c>
      <c r="BA33" s="38" t="str">
        <f t="shared" si="3"/>
        <v>0</v>
      </c>
      <c r="BB33" s="38" t="str">
        <f t="shared" si="4"/>
        <v>0</v>
      </c>
      <c r="BC33" s="38">
        <f t="shared" si="5"/>
        <v>0</v>
      </c>
      <c r="BD33" s="38">
        <f t="shared" si="6"/>
        <v>0</v>
      </c>
      <c r="BL33" s="38" t="str">
        <f t="shared" si="7"/>
        <v/>
      </c>
      <c r="BM33" s="38" t="str">
        <f t="shared" si="8"/>
        <v/>
      </c>
      <c r="BN33" s="38" t="str">
        <f t="shared" si="9"/>
        <v/>
      </c>
      <c r="BO33" s="38" t="str">
        <f t="shared" si="10"/>
        <v/>
      </c>
      <c r="BP33" s="38" t="str">
        <f t="shared" si="11"/>
        <v/>
      </c>
      <c r="BQ33" s="38" t="str">
        <f t="shared" si="12"/>
        <v/>
      </c>
    </row>
    <row r="34" spans="1:69" ht="15.6" x14ac:dyDescent="0.3">
      <c r="A34" s="124" t="s">
        <v>265</v>
      </c>
      <c r="B34" s="397">
        <f>IF(ISBLANK(HLOOKUP($F$25,spelerslijsten!$B$1:$J$22,12,FALSE)),"",HLOOKUP($F$25,spelerslijsten!$B$1:$J$22,12,FALSE))</f>
        <v>7</v>
      </c>
      <c r="C34" s="398"/>
      <c r="D34" s="121"/>
      <c r="E34" s="122" t="str">
        <f>IF(ISBLANK(HLOOKUP($F$25,spelerslijsten!$B$1:$J$22,11,FALSE)),"",HLOOKUP($F$25,spelerslijsten!$B$1:$J$22,11,FALSE))</f>
        <v>Mieke van Gerwen</v>
      </c>
      <c r="F34" s="12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08">
        <f t="shared" si="23"/>
        <v>0</v>
      </c>
      <c r="W34" s="109" t="str">
        <f t="shared" si="24"/>
        <v/>
      </c>
      <c r="X34" s="110" t="str">
        <f t="shared" si="25"/>
        <v/>
      </c>
      <c r="Y34" s="103" t="str">
        <f t="shared" si="26"/>
        <v/>
      </c>
      <c r="Z34" s="111"/>
      <c r="AA34" s="112"/>
      <c r="AB34" s="113" t="str">
        <f t="shared" si="16"/>
        <v>-</v>
      </c>
      <c r="AC34" s="112"/>
      <c r="AD34" s="114"/>
      <c r="AE34" s="115"/>
      <c r="AF34" s="115"/>
      <c r="AG34" s="116"/>
      <c r="AH34" s="117"/>
      <c r="AI34" s="117"/>
      <c r="AJ34" s="342"/>
      <c r="AK34" s="343"/>
      <c r="AL34" s="346"/>
      <c r="AM34" s="347"/>
      <c r="AN34" s="118"/>
      <c r="AO34" s="101" t="str">
        <f t="shared" si="19"/>
        <v/>
      </c>
      <c r="AP34" s="113" t="str">
        <f t="shared" si="20"/>
        <v>-</v>
      </c>
      <c r="AQ34" s="119"/>
      <c r="AR34" s="103" t="str">
        <f t="shared" si="21"/>
        <v/>
      </c>
      <c r="AT34" s="38" t="str">
        <f t="shared" si="27"/>
        <v>B7</v>
      </c>
      <c r="AU34" s="38">
        <f t="shared" si="18"/>
        <v>0</v>
      </c>
      <c r="AY34" s="38" t="str">
        <f t="shared" si="1"/>
        <v/>
      </c>
      <c r="AZ34" s="38" t="str">
        <f t="shared" si="2"/>
        <v>0</v>
      </c>
      <c r="BA34" s="38" t="str">
        <f t="shared" si="3"/>
        <v>0</v>
      </c>
      <c r="BB34" s="38" t="str">
        <f t="shared" si="4"/>
        <v>0</v>
      </c>
      <c r="BC34" s="38">
        <f t="shared" si="5"/>
        <v>0</v>
      </c>
      <c r="BD34" s="38">
        <f t="shared" si="6"/>
        <v>0</v>
      </c>
      <c r="BL34" s="38" t="str">
        <f t="shared" si="7"/>
        <v/>
      </c>
      <c r="BM34" s="38" t="str">
        <f t="shared" si="8"/>
        <v/>
      </c>
      <c r="BN34" s="38" t="str">
        <f t="shared" si="9"/>
        <v/>
      </c>
      <c r="BO34" s="38" t="str">
        <f t="shared" si="10"/>
        <v/>
      </c>
      <c r="BP34" s="38" t="str">
        <f t="shared" si="11"/>
        <v/>
      </c>
      <c r="BQ34" s="38" t="str">
        <f t="shared" si="12"/>
        <v/>
      </c>
    </row>
    <row r="35" spans="1:69" ht="15.6" x14ac:dyDescent="0.3">
      <c r="A35" s="124" t="s">
        <v>265</v>
      </c>
      <c r="B35" s="397">
        <f>IF(ISBLANK(HLOOKUP($F$25,spelerslijsten!$B$1:$J$22,14,FALSE)),"",HLOOKUP($F$25,spelerslijsten!$B$1:$J$22,14,FALSE))</f>
        <v>8</v>
      </c>
      <c r="C35" s="398"/>
      <c r="D35" s="121"/>
      <c r="E35" s="122" t="str">
        <f>IF(ISBLANK(HLOOKUP($F$25,spelerslijsten!$B$1:$J$22,13,FALSE)),"",HLOOKUP($F$25,spelerslijsten!$B$1:$J$22,13,FALSE))</f>
        <v>Susan van Wanrooy</v>
      </c>
      <c r="F35" s="12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08">
        <f t="shared" si="23"/>
        <v>0</v>
      </c>
      <c r="W35" s="109" t="str">
        <f t="shared" si="24"/>
        <v/>
      </c>
      <c r="X35" s="110" t="str">
        <f t="shared" si="25"/>
        <v/>
      </c>
      <c r="Y35" s="103" t="str">
        <f t="shared" si="26"/>
        <v/>
      </c>
      <c r="Z35" s="111"/>
      <c r="AA35" s="112"/>
      <c r="AB35" s="113" t="str">
        <f t="shared" si="16"/>
        <v>-</v>
      </c>
      <c r="AC35" s="112"/>
      <c r="AD35" s="114"/>
      <c r="AE35" s="115"/>
      <c r="AF35" s="115"/>
      <c r="AG35" s="116"/>
      <c r="AH35" s="117"/>
      <c r="AI35" s="117"/>
      <c r="AJ35" s="342"/>
      <c r="AK35" s="343"/>
      <c r="AL35" s="346"/>
      <c r="AM35" s="347"/>
      <c r="AN35" s="118"/>
      <c r="AO35" s="101" t="str">
        <f t="shared" si="19"/>
        <v/>
      </c>
      <c r="AP35" s="113" t="str">
        <f t="shared" si="20"/>
        <v>-</v>
      </c>
      <c r="AQ35" s="119"/>
      <c r="AR35" s="103" t="str">
        <f t="shared" si="21"/>
        <v/>
      </c>
      <c r="AT35" s="38" t="str">
        <f t="shared" si="27"/>
        <v>B8</v>
      </c>
      <c r="AU35" s="38">
        <f t="shared" si="18"/>
        <v>0</v>
      </c>
      <c r="AY35" s="38" t="str">
        <f t="shared" si="1"/>
        <v/>
      </c>
      <c r="AZ35" s="38" t="str">
        <f t="shared" si="2"/>
        <v>0</v>
      </c>
      <c r="BA35" s="38" t="str">
        <f t="shared" si="3"/>
        <v>0</v>
      </c>
      <c r="BB35" s="38" t="str">
        <f t="shared" si="4"/>
        <v>0</v>
      </c>
      <c r="BC35" s="38">
        <f t="shared" si="5"/>
        <v>0</v>
      </c>
      <c r="BD35" s="38">
        <f t="shared" si="6"/>
        <v>0</v>
      </c>
      <c r="BL35" s="38" t="str">
        <f t="shared" si="7"/>
        <v/>
      </c>
      <c r="BM35" s="38" t="str">
        <f t="shared" si="8"/>
        <v/>
      </c>
      <c r="BN35" s="38" t="str">
        <f t="shared" si="9"/>
        <v/>
      </c>
      <c r="BO35" s="38" t="str">
        <f t="shared" si="10"/>
        <v/>
      </c>
      <c r="BP35" s="38" t="str">
        <f t="shared" si="11"/>
        <v/>
      </c>
      <c r="BQ35" s="38" t="str">
        <f t="shared" si="12"/>
        <v/>
      </c>
    </row>
    <row r="36" spans="1:69" ht="15.6" x14ac:dyDescent="0.3">
      <c r="A36" s="124" t="s">
        <v>265</v>
      </c>
      <c r="B36" s="397">
        <f>IF(ISBLANK(HLOOKUP($F$25,spelerslijsten!$B$1:$J$22,16,FALSE)),"",HLOOKUP($F$25,spelerslijsten!$B$1:$J$22,16,FALSE))</f>
        <v>10</v>
      </c>
      <c r="C36" s="398"/>
      <c r="D36" s="121"/>
      <c r="E36" s="122" t="str">
        <f>IF(ISBLANK(HLOOKUP($F$25,spelerslijsten!$B$1:$J$22,15,FALSE)),"",HLOOKUP($F$25,spelerslijsten!$B$1:$J$22,15,FALSE))</f>
        <v>Jeffrey Danen</v>
      </c>
      <c r="F36" s="12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08">
        <f t="shared" si="23"/>
        <v>2</v>
      </c>
      <c r="W36" s="109" t="str">
        <f t="shared" si="24"/>
        <v/>
      </c>
      <c r="X36" s="110" t="str">
        <f t="shared" si="25"/>
        <v/>
      </c>
      <c r="Y36" s="103" t="str">
        <f t="shared" si="26"/>
        <v/>
      </c>
      <c r="Z36" s="111"/>
      <c r="AA36" s="112"/>
      <c r="AB36" s="113" t="str">
        <f t="shared" si="16"/>
        <v>-</v>
      </c>
      <c r="AC36" s="112"/>
      <c r="AD36" s="114"/>
      <c r="AE36" s="115"/>
      <c r="AF36" s="115"/>
      <c r="AG36" s="116"/>
      <c r="AH36" s="117"/>
      <c r="AI36" s="117"/>
      <c r="AJ36" s="342"/>
      <c r="AK36" s="343"/>
      <c r="AL36" s="346"/>
      <c r="AM36" s="347"/>
      <c r="AN36" s="118"/>
      <c r="AO36" s="101" t="str">
        <f t="shared" si="19"/>
        <v/>
      </c>
      <c r="AP36" s="113" t="str">
        <f t="shared" si="20"/>
        <v>-</v>
      </c>
      <c r="AQ36" s="119"/>
      <c r="AR36" s="103" t="str">
        <f t="shared" si="21"/>
        <v/>
      </c>
      <c r="AT36" s="38" t="str">
        <f t="shared" si="27"/>
        <v>B10</v>
      </c>
      <c r="AU36" s="38">
        <f t="shared" si="18"/>
        <v>0</v>
      </c>
      <c r="AY36" s="38" t="str">
        <f t="shared" si="1"/>
        <v/>
      </c>
      <c r="AZ36" s="38" t="str">
        <f t="shared" si="2"/>
        <v>0</v>
      </c>
      <c r="BA36" s="38" t="str">
        <f t="shared" si="3"/>
        <v>0</v>
      </c>
      <c r="BB36" s="38" t="str">
        <f t="shared" si="4"/>
        <v>0</v>
      </c>
      <c r="BC36" s="38">
        <f t="shared" si="5"/>
        <v>0</v>
      </c>
      <c r="BD36" s="38">
        <f t="shared" si="6"/>
        <v>0</v>
      </c>
      <c r="BL36" s="38" t="str">
        <f t="shared" si="7"/>
        <v/>
      </c>
      <c r="BM36" s="38" t="str">
        <f t="shared" si="8"/>
        <v/>
      </c>
      <c r="BN36" s="38" t="str">
        <f t="shared" si="9"/>
        <v/>
      </c>
      <c r="BO36" s="38" t="str">
        <f t="shared" si="10"/>
        <v/>
      </c>
      <c r="BP36" s="38" t="str">
        <f t="shared" si="11"/>
        <v/>
      </c>
      <c r="BQ36" s="38" t="str">
        <f t="shared" si="12"/>
        <v/>
      </c>
    </row>
    <row r="37" spans="1:69" ht="15.6" x14ac:dyDescent="0.3">
      <c r="A37" s="124"/>
      <c r="B37" s="397" t="str">
        <f>IF(ISBLANK(HLOOKUP($F$25,spelerslijsten!$B$1:$J$22,18,FALSE)),"",HLOOKUP($F$25,spelerslijsten!$B$1:$J$22,18,FALSE))</f>
        <v/>
      </c>
      <c r="C37" s="398"/>
      <c r="D37" s="121"/>
      <c r="E37" s="122" t="str">
        <f>IF(ISBLANK(HLOOKUP($F$25,spelerslijsten!$B$1:$J$22,17,FALSE)),"",HLOOKUP($F$25,spelerslijsten!$B$1:$J$22,17,FALSE))</f>
        <v/>
      </c>
      <c r="F37" s="12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08">
        <f t="shared" si="23"/>
        <v>0</v>
      </c>
      <c r="W37" s="109" t="str">
        <f t="shared" si="24"/>
        <v/>
      </c>
      <c r="X37" s="110" t="str">
        <f t="shared" si="25"/>
        <v/>
      </c>
      <c r="Y37" s="103" t="str">
        <f t="shared" si="26"/>
        <v/>
      </c>
      <c r="Z37" s="111"/>
      <c r="AA37" s="112"/>
      <c r="AB37" s="113" t="str">
        <f t="shared" si="16"/>
        <v>-</v>
      </c>
      <c r="AC37" s="112"/>
      <c r="AD37" s="114"/>
      <c r="AE37" s="115"/>
      <c r="AF37" s="115"/>
      <c r="AG37" s="116"/>
      <c r="AH37" s="117"/>
      <c r="AI37" s="117"/>
      <c r="AJ37" s="342"/>
      <c r="AK37" s="343"/>
      <c r="AL37" s="346"/>
      <c r="AM37" s="347"/>
      <c r="AN37" s="118"/>
      <c r="AO37" s="101" t="str">
        <f t="shared" si="19"/>
        <v/>
      </c>
      <c r="AP37" s="113" t="str">
        <f t="shared" si="20"/>
        <v>-</v>
      </c>
      <c r="AQ37" s="119"/>
      <c r="AR37" s="103" t="str">
        <f t="shared" si="21"/>
        <v/>
      </c>
      <c r="AT37" s="38" t="str">
        <f t="shared" si="27"/>
        <v>B</v>
      </c>
      <c r="AU37" s="38">
        <f t="shared" si="18"/>
        <v>0</v>
      </c>
      <c r="AY37" s="38" t="str">
        <f t="shared" si="1"/>
        <v/>
      </c>
      <c r="AZ37" s="38" t="str">
        <f t="shared" si="2"/>
        <v>0</v>
      </c>
      <c r="BA37" s="38" t="str">
        <f t="shared" si="3"/>
        <v>0</v>
      </c>
      <c r="BB37" s="38" t="str">
        <f t="shared" si="4"/>
        <v>0</v>
      </c>
      <c r="BC37" s="38">
        <f t="shared" si="5"/>
        <v>0</v>
      </c>
      <c r="BD37" s="38">
        <f t="shared" si="6"/>
        <v>0</v>
      </c>
      <c r="BL37" s="38" t="str">
        <f t="shared" si="7"/>
        <v/>
      </c>
      <c r="BM37" s="38" t="str">
        <f t="shared" si="8"/>
        <v/>
      </c>
      <c r="BN37" s="38" t="str">
        <f t="shared" si="9"/>
        <v/>
      </c>
      <c r="BO37" s="38" t="str">
        <f t="shared" si="10"/>
        <v/>
      </c>
      <c r="BP37" s="38" t="str">
        <f t="shared" si="11"/>
        <v/>
      </c>
      <c r="BQ37" s="38" t="str">
        <f t="shared" si="12"/>
        <v/>
      </c>
    </row>
    <row r="38" spans="1:69" ht="15.6" x14ac:dyDescent="0.3">
      <c r="A38" s="124"/>
      <c r="B38" s="397" t="str">
        <f>IF(ISBLANK(HLOOKUP($F$25,spelerslijsten!$B$1:$J$22,20,FALSE)),"",HLOOKUP($F$25,spelerslijsten!$B$1:$J$22,20,FALSE))</f>
        <v/>
      </c>
      <c r="C38" s="398"/>
      <c r="D38" s="121"/>
      <c r="E38" s="122" t="str">
        <f>IF(ISBLANK(HLOOKUP($F$25,spelerslijsten!$B$1:$J$22,19,FALSE)),"",HLOOKUP($F$25,spelerslijsten!$B$1:$J$22,19,FALSE))</f>
        <v/>
      </c>
      <c r="F38" s="12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08">
        <f t="shared" si="23"/>
        <v>0</v>
      </c>
      <c r="W38" s="109" t="str">
        <f t="shared" si="24"/>
        <v/>
      </c>
      <c r="X38" s="110" t="str">
        <f t="shared" si="25"/>
        <v/>
      </c>
      <c r="Y38" s="103" t="str">
        <f t="shared" si="26"/>
        <v/>
      </c>
      <c r="Z38" s="111"/>
      <c r="AA38" s="112"/>
      <c r="AB38" s="113" t="str">
        <f t="shared" si="16"/>
        <v>-</v>
      </c>
      <c r="AC38" s="112"/>
      <c r="AD38" s="114"/>
      <c r="AE38" s="115"/>
      <c r="AF38" s="115"/>
      <c r="AG38" s="116"/>
      <c r="AH38" s="117"/>
      <c r="AI38" s="117"/>
      <c r="AJ38" s="342"/>
      <c r="AK38" s="343"/>
      <c r="AL38" s="346"/>
      <c r="AM38" s="347"/>
      <c r="AN38" s="118"/>
      <c r="AO38" s="101" t="str">
        <f t="shared" si="19"/>
        <v/>
      </c>
      <c r="AP38" s="113" t="str">
        <f t="shared" si="20"/>
        <v>-</v>
      </c>
      <c r="AQ38" s="119"/>
      <c r="AR38" s="103" t="str">
        <f t="shared" si="21"/>
        <v/>
      </c>
      <c r="AT38" s="38" t="str">
        <f t="shared" si="27"/>
        <v>B</v>
      </c>
      <c r="AU38" s="38">
        <f t="shared" si="18"/>
        <v>0</v>
      </c>
      <c r="AY38" s="38" t="str">
        <f t="shared" si="1"/>
        <v/>
      </c>
      <c r="AZ38" s="38" t="str">
        <f t="shared" si="2"/>
        <v>0</v>
      </c>
      <c r="BA38" s="38" t="str">
        <f t="shared" si="3"/>
        <v>0</v>
      </c>
      <c r="BB38" s="38" t="str">
        <f t="shared" si="4"/>
        <v>0</v>
      </c>
      <c r="BC38" s="38">
        <f t="shared" si="5"/>
        <v>0</v>
      </c>
      <c r="BD38" s="38">
        <f t="shared" si="6"/>
        <v>0</v>
      </c>
      <c r="BL38" s="38" t="str">
        <f t="shared" si="7"/>
        <v/>
      </c>
      <c r="BM38" s="38" t="str">
        <f t="shared" si="8"/>
        <v/>
      </c>
      <c r="BN38" s="38" t="str">
        <f t="shared" si="9"/>
        <v/>
      </c>
      <c r="BO38" s="38" t="str">
        <f t="shared" si="10"/>
        <v/>
      </c>
      <c r="BP38" s="38" t="str">
        <f t="shared" si="11"/>
        <v/>
      </c>
      <c r="BQ38" s="38" t="str">
        <f t="shared" si="12"/>
        <v/>
      </c>
    </row>
    <row r="39" spans="1:69" ht="15.6" x14ac:dyDescent="0.3">
      <c r="A39" s="125"/>
      <c r="B39" s="397" t="str">
        <f>IF(ISBLANK(HLOOKUP($F$25,spelerslijsten!$B$1:$J$22,22,FALSE)),"",HLOOKUP($F$25,spelerslijsten!$B$1:$J$22,22,FALSE))</f>
        <v/>
      </c>
      <c r="C39" s="398"/>
      <c r="D39" s="126"/>
      <c r="E39" s="259" t="str">
        <f>IF(ISBLANK(HLOOKUP($F$25,spelerslijsten!$B$1:$J$22,21,FALSE)),"",HLOOKUP($F$25,spelerslijsten!$B$1:$J$22,21,FALSE))</f>
        <v/>
      </c>
      <c r="F39" s="126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08">
        <f t="shared" si="23"/>
        <v>0</v>
      </c>
      <c r="W39" s="109" t="str">
        <f t="shared" si="24"/>
        <v/>
      </c>
      <c r="X39" s="110" t="str">
        <f t="shared" si="25"/>
        <v/>
      </c>
      <c r="Y39" s="103" t="str">
        <f t="shared" si="26"/>
        <v/>
      </c>
      <c r="Z39" s="111"/>
      <c r="AA39" s="112"/>
      <c r="AB39" s="113" t="str">
        <f t="shared" si="16"/>
        <v>-</v>
      </c>
      <c r="AC39" s="112"/>
      <c r="AD39" s="114"/>
      <c r="AE39" s="115"/>
      <c r="AF39" s="115"/>
      <c r="AG39" s="116"/>
      <c r="AH39" s="117"/>
      <c r="AI39" s="117"/>
      <c r="AJ39" s="342"/>
      <c r="AK39" s="343"/>
      <c r="AL39" s="346"/>
      <c r="AM39" s="347"/>
      <c r="AN39" s="118"/>
      <c r="AO39" s="101" t="str">
        <f t="shared" si="19"/>
        <v/>
      </c>
      <c r="AP39" s="113" t="str">
        <f t="shared" si="20"/>
        <v>-</v>
      </c>
      <c r="AQ39" s="119"/>
      <c r="AR39" s="103" t="str">
        <f t="shared" si="21"/>
        <v/>
      </c>
      <c r="AT39" s="38" t="str">
        <f t="shared" si="27"/>
        <v>B</v>
      </c>
      <c r="AU39" s="38">
        <f t="shared" si="18"/>
        <v>0</v>
      </c>
      <c r="AY39" s="38" t="str">
        <f t="shared" si="1"/>
        <v/>
      </c>
      <c r="AZ39" s="38" t="str">
        <f t="shared" si="2"/>
        <v>0</v>
      </c>
      <c r="BA39" s="38" t="str">
        <f t="shared" si="3"/>
        <v>0</v>
      </c>
      <c r="BB39" s="38" t="str">
        <f t="shared" si="4"/>
        <v>0</v>
      </c>
      <c r="BC39" s="38">
        <f t="shared" si="5"/>
        <v>0</v>
      </c>
      <c r="BD39" s="38">
        <f t="shared" si="6"/>
        <v>0</v>
      </c>
      <c r="BL39" s="38" t="str">
        <f t="shared" si="7"/>
        <v/>
      </c>
      <c r="BM39" s="38" t="str">
        <f t="shared" si="8"/>
        <v/>
      </c>
      <c r="BN39" s="38" t="str">
        <f t="shared" si="9"/>
        <v/>
      </c>
      <c r="BO39" s="38" t="str">
        <f t="shared" si="10"/>
        <v/>
      </c>
      <c r="BP39" s="38" t="str">
        <f t="shared" si="11"/>
        <v/>
      </c>
      <c r="BQ39" s="38" t="str">
        <f t="shared" si="12"/>
        <v/>
      </c>
    </row>
    <row r="40" spans="1:69" ht="16.2" thickBot="1" x14ac:dyDescent="0.35">
      <c r="A40" s="71" t="s">
        <v>67</v>
      </c>
      <c r="B40" s="72"/>
      <c r="C40" s="72"/>
      <c r="D40" s="72"/>
      <c r="E40" s="72"/>
      <c r="F40" s="72"/>
      <c r="G40" s="72"/>
      <c r="H40" s="72"/>
      <c r="I40" s="399">
        <f>HLOOKUP(F25,spelerslijsten!B1:J25,25,FALSE)</f>
        <v>2</v>
      </c>
      <c r="J40" s="400"/>
      <c r="K40" s="74" t="s">
        <v>23</v>
      </c>
      <c r="L40" s="72"/>
      <c r="M40" s="72"/>
      <c r="N40" s="129" t="str">
        <f>HLOOKUP(F25,spelerslijsten!B1:J25,23,FALSE)</f>
        <v>Mieke Reijnders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30"/>
      <c r="Z40" s="111"/>
      <c r="AA40" s="112"/>
      <c r="AB40" s="113" t="str">
        <f t="shared" si="16"/>
        <v>-</v>
      </c>
      <c r="AC40" s="112"/>
      <c r="AD40" s="114"/>
      <c r="AE40" s="115"/>
      <c r="AF40" s="115"/>
      <c r="AG40" s="116"/>
      <c r="AH40" s="117"/>
      <c r="AI40" s="117"/>
      <c r="AJ40" s="342"/>
      <c r="AK40" s="343"/>
      <c r="AL40" s="346"/>
      <c r="AM40" s="347"/>
      <c r="AN40" s="118"/>
      <c r="AO40" s="101" t="str">
        <f t="shared" si="19"/>
        <v/>
      </c>
      <c r="AP40" s="113" t="str">
        <f t="shared" si="20"/>
        <v>-</v>
      </c>
      <c r="AQ40" s="119"/>
      <c r="AR40" s="103" t="str">
        <f t="shared" si="21"/>
        <v/>
      </c>
      <c r="AY40" s="38" t="str">
        <f t="shared" si="1"/>
        <v/>
      </c>
      <c r="AZ40" s="38" t="str">
        <f t="shared" si="2"/>
        <v>0</v>
      </c>
      <c r="BA40" s="38" t="str">
        <f t="shared" si="3"/>
        <v>0</v>
      </c>
      <c r="BB40" s="38" t="str">
        <f t="shared" si="4"/>
        <v>0</v>
      </c>
      <c r="BC40" s="38">
        <f t="shared" si="5"/>
        <v>0</v>
      </c>
      <c r="BD40" s="38">
        <f t="shared" si="6"/>
        <v>0</v>
      </c>
      <c r="BL40" s="38" t="str">
        <f t="shared" si="7"/>
        <v/>
      </c>
      <c r="BM40" s="38" t="str">
        <f t="shared" si="8"/>
        <v/>
      </c>
      <c r="BN40" s="38" t="str">
        <f t="shared" si="9"/>
        <v/>
      </c>
      <c r="BO40" s="38" t="str">
        <f t="shared" si="10"/>
        <v/>
      </c>
      <c r="BP40" s="38" t="str">
        <f t="shared" si="11"/>
        <v/>
      </c>
      <c r="BQ40" s="38" t="str">
        <f t="shared" si="12"/>
        <v/>
      </c>
    </row>
    <row r="41" spans="1:69" ht="15.6" x14ac:dyDescent="0.3">
      <c r="A41" s="157" t="s">
        <v>68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158"/>
      <c r="Z41" s="111"/>
      <c r="AA41" s="112"/>
      <c r="AB41" s="113" t="str">
        <f t="shared" si="16"/>
        <v>-</v>
      </c>
      <c r="AC41" s="112"/>
      <c r="AD41" s="114"/>
      <c r="AE41" s="115"/>
      <c r="AF41" s="115"/>
      <c r="AG41" s="116"/>
      <c r="AH41" s="117"/>
      <c r="AI41" s="117"/>
      <c r="AJ41" s="342"/>
      <c r="AK41" s="343"/>
      <c r="AL41" s="346"/>
      <c r="AM41" s="347"/>
      <c r="AN41" s="118"/>
      <c r="AO41" s="101" t="str">
        <f t="shared" si="19"/>
        <v/>
      </c>
      <c r="AP41" s="113" t="str">
        <f t="shared" si="20"/>
        <v>-</v>
      </c>
      <c r="AQ41" s="119"/>
      <c r="AR41" s="103" t="str">
        <f t="shared" si="21"/>
        <v/>
      </c>
      <c r="AY41" s="38" t="str">
        <f t="shared" si="1"/>
        <v/>
      </c>
      <c r="AZ41" s="38" t="str">
        <f t="shared" si="2"/>
        <v>0</v>
      </c>
      <c r="BA41" s="38" t="str">
        <f t="shared" si="3"/>
        <v>0</v>
      </c>
      <c r="BB41" s="38" t="str">
        <f t="shared" si="4"/>
        <v>0</v>
      </c>
      <c r="BC41" s="38">
        <f t="shared" si="5"/>
        <v>0</v>
      </c>
      <c r="BD41" s="38">
        <f t="shared" si="6"/>
        <v>0</v>
      </c>
      <c r="BL41" s="38" t="str">
        <f t="shared" si="7"/>
        <v/>
      </c>
      <c r="BM41" s="38" t="str">
        <f t="shared" si="8"/>
        <v/>
      </c>
      <c r="BN41" s="38" t="str">
        <f t="shared" si="9"/>
        <v/>
      </c>
      <c r="BO41" s="38" t="str">
        <f t="shared" si="10"/>
        <v/>
      </c>
      <c r="BP41" s="38" t="str">
        <f t="shared" si="11"/>
        <v/>
      </c>
      <c r="BQ41" s="38" t="str">
        <f t="shared" si="12"/>
        <v/>
      </c>
    </row>
    <row r="42" spans="1:69" ht="15.6" x14ac:dyDescent="0.3">
      <c r="A42" s="15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60"/>
      <c r="Z42" s="111"/>
      <c r="AA42" s="112"/>
      <c r="AB42" s="113" t="str">
        <f t="shared" si="16"/>
        <v>-</v>
      </c>
      <c r="AC42" s="112"/>
      <c r="AD42" s="114"/>
      <c r="AE42" s="115"/>
      <c r="AF42" s="115"/>
      <c r="AG42" s="116"/>
      <c r="AH42" s="117"/>
      <c r="AI42" s="117"/>
      <c r="AJ42" s="342"/>
      <c r="AK42" s="343"/>
      <c r="AL42" s="346"/>
      <c r="AM42" s="347"/>
      <c r="AN42" s="118"/>
      <c r="AO42" s="101" t="str">
        <f t="shared" si="19"/>
        <v/>
      </c>
      <c r="AP42" s="113" t="str">
        <f t="shared" si="20"/>
        <v>-</v>
      </c>
      <c r="AQ42" s="119"/>
      <c r="AR42" s="103" t="str">
        <f t="shared" si="21"/>
        <v/>
      </c>
      <c r="AY42" s="38" t="str">
        <f t="shared" si="1"/>
        <v/>
      </c>
      <c r="AZ42" s="38" t="str">
        <f t="shared" si="2"/>
        <v>0</v>
      </c>
      <c r="BA42" s="38" t="str">
        <f t="shared" si="3"/>
        <v>0</v>
      </c>
      <c r="BB42" s="38" t="str">
        <f t="shared" si="4"/>
        <v>0</v>
      </c>
      <c r="BC42" s="38">
        <f t="shared" si="5"/>
        <v>0</v>
      </c>
      <c r="BD42" s="38">
        <f t="shared" si="6"/>
        <v>0</v>
      </c>
      <c r="BL42" s="38" t="str">
        <f t="shared" si="7"/>
        <v/>
      </c>
      <c r="BM42" s="38" t="str">
        <f t="shared" si="8"/>
        <v/>
      </c>
      <c r="BN42" s="38" t="str">
        <f t="shared" si="9"/>
        <v/>
      </c>
      <c r="BO42" s="38" t="str">
        <f t="shared" si="10"/>
        <v/>
      </c>
      <c r="BP42" s="38" t="str">
        <f t="shared" si="11"/>
        <v/>
      </c>
      <c r="BQ42" s="38" t="str">
        <f t="shared" si="12"/>
        <v/>
      </c>
    </row>
    <row r="43" spans="1:69" ht="15.6" x14ac:dyDescent="0.3">
      <c r="A43" s="16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62"/>
      <c r="Z43" s="111"/>
      <c r="AA43" s="112"/>
      <c r="AB43" s="113" t="str">
        <f t="shared" si="16"/>
        <v>-</v>
      </c>
      <c r="AC43" s="112"/>
      <c r="AD43" s="114"/>
      <c r="AE43" s="115"/>
      <c r="AF43" s="115"/>
      <c r="AG43" s="116"/>
      <c r="AH43" s="117"/>
      <c r="AI43" s="117"/>
      <c r="AJ43" s="342"/>
      <c r="AK43" s="343"/>
      <c r="AL43" s="346"/>
      <c r="AM43" s="347"/>
      <c r="AN43" s="118"/>
      <c r="AO43" s="101" t="str">
        <f t="shared" si="19"/>
        <v/>
      </c>
      <c r="AP43" s="113" t="str">
        <f t="shared" si="20"/>
        <v>-</v>
      </c>
      <c r="AQ43" s="119"/>
      <c r="AR43" s="103" t="str">
        <f t="shared" si="21"/>
        <v/>
      </c>
      <c r="AY43" s="38" t="str">
        <f t="shared" si="1"/>
        <v/>
      </c>
      <c r="AZ43" s="38" t="str">
        <f t="shared" si="2"/>
        <v>0</v>
      </c>
      <c r="BA43" s="38" t="str">
        <f t="shared" si="3"/>
        <v>0</v>
      </c>
      <c r="BB43" s="38" t="str">
        <f t="shared" si="4"/>
        <v>0</v>
      </c>
      <c r="BC43" s="38">
        <f t="shared" si="5"/>
        <v>0</v>
      </c>
      <c r="BD43" s="38">
        <f t="shared" si="6"/>
        <v>0</v>
      </c>
      <c r="BL43" s="38" t="str">
        <f t="shared" si="7"/>
        <v/>
      </c>
      <c r="BM43" s="38" t="str">
        <f t="shared" si="8"/>
        <v/>
      </c>
      <c r="BN43" s="38" t="str">
        <f t="shared" si="9"/>
        <v/>
      </c>
      <c r="BO43" s="38" t="str">
        <f t="shared" si="10"/>
        <v/>
      </c>
      <c r="BP43" s="38" t="str">
        <f t="shared" si="11"/>
        <v/>
      </c>
      <c r="BQ43" s="38" t="str">
        <f t="shared" si="12"/>
        <v/>
      </c>
    </row>
    <row r="44" spans="1:69" ht="15.6" x14ac:dyDescent="0.3">
      <c r="A44" s="16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62"/>
      <c r="Z44" s="111"/>
      <c r="AA44" s="112"/>
      <c r="AB44" s="113" t="str">
        <f t="shared" si="16"/>
        <v>-</v>
      </c>
      <c r="AC44" s="112"/>
      <c r="AD44" s="114"/>
      <c r="AE44" s="115"/>
      <c r="AF44" s="115"/>
      <c r="AG44" s="116"/>
      <c r="AH44" s="117"/>
      <c r="AI44" s="117"/>
      <c r="AJ44" s="342"/>
      <c r="AK44" s="343"/>
      <c r="AL44" s="346"/>
      <c r="AM44" s="347"/>
      <c r="AN44" s="118"/>
      <c r="AO44" s="101" t="str">
        <f t="shared" si="19"/>
        <v/>
      </c>
      <c r="AP44" s="113" t="str">
        <f t="shared" si="20"/>
        <v>-</v>
      </c>
      <c r="AQ44" s="119"/>
      <c r="AR44" s="103" t="str">
        <f t="shared" si="21"/>
        <v/>
      </c>
      <c r="AY44" s="38" t="str">
        <f t="shared" si="1"/>
        <v/>
      </c>
      <c r="AZ44" s="38" t="str">
        <f t="shared" si="2"/>
        <v>0</v>
      </c>
      <c r="BA44" s="38" t="str">
        <f t="shared" si="3"/>
        <v>0</v>
      </c>
      <c r="BB44" s="38" t="str">
        <f t="shared" si="4"/>
        <v>0</v>
      </c>
      <c r="BC44" s="38">
        <f t="shared" si="5"/>
        <v>0</v>
      </c>
      <c r="BD44" s="38">
        <f t="shared" si="6"/>
        <v>0</v>
      </c>
      <c r="BL44" s="38" t="str">
        <f t="shared" si="7"/>
        <v/>
      </c>
      <c r="BM44" s="38" t="str">
        <f t="shared" si="8"/>
        <v/>
      </c>
      <c r="BN44" s="38" t="str">
        <f t="shared" si="9"/>
        <v/>
      </c>
      <c r="BO44" s="38" t="str">
        <f t="shared" si="10"/>
        <v/>
      </c>
      <c r="BP44" s="38" t="str">
        <f t="shared" si="11"/>
        <v/>
      </c>
      <c r="BQ44" s="38" t="str">
        <f t="shared" si="12"/>
        <v/>
      </c>
    </row>
    <row r="45" spans="1:69" ht="15.6" x14ac:dyDescent="0.3">
      <c r="A45" s="16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62"/>
      <c r="Z45" s="111"/>
      <c r="AA45" s="112"/>
      <c r="AB45" s="113" t="str">
        <f>+AB44</f>
        <v>-</v>
      </c>
      <c r="AC45" s="112"/>
      <c r="AD45" s="114"/>
      <c r="AE45" s="115"/>
      <c r="AF45" s="115"/>
      <c r="AG45" s="116"/>
      <c r="AH45" s="117"/>
      <c r="AI45" s="117"/>
      <c r="AJ45" s="342"/>
      <c r="AK45" s="343"/>
      <c r="AL45" s="346"/>
      <c r="AM45" s="347"/>
      <c r="AN45" s="118"/>
      <c r="AO45" s="101" t="str">
        <f t="shared" si="19"/>
        <v/>
      </c>
      <c r="AP45" s="113" t="str">
        <f t="shared" si="20"/>
        <v>-</v>
      </c>
      <c r="AQ45" s="119"/>
      <c r="AR45" s="103" t="str">
        <f t="shared" si="21"/>
        <v/>
      </c>
      <c r="AY45" s="38" t="str">
        <f t="shared" si="1"/>
        <v/>
      </c>
      <c r="AZ45" s="38" t="str">
        <f t="shared" si="2"/>
        <v>0</v>
      </c>
      <c r="BA45" s="38" t="str">
        <f t="shared" si="3"/>
        <v>0</v>
      </c>
      <c r="BB45" s="38" t="str">
        <f t="shared" si="4"/>
        <v>0</v>
      </c>
      <c r="BC45" s="38">
        <f t="shared" si="5"/>
        <v>0</v>
      </c>
      <c r="BD45" s="38">
        <f t="shared" si="6"/>
        <v>0</v>
      </c>
      <c r="BL45" s="38" t="str">
        <f t="shared" si="7"/>
        <v/>
      </c>
      <c r="BM45" s="38" t="str">
        <f t="shared" si="8"/>
        <v/>
      </c>
      <c r="BN45" s="38" t="str">
        <f t="shared" si="9"/>
        <v/>
      </c>
      <c r="BO45" s="38" t="str">
        <f t="shared" si="10"/>
        <v/>
      </c>
      <c r="BP45" s="38" t="str">
        <f t="shared" si="11"/>
        <v/>
      </c>
      <c r="BQ45" s="38" t="str">
        <f t="shared" si="12"/>
        <v/>
      </c>
    </row>
    <row r="46" spans="1:69" ht="16.2" thickBot="1" x14ac:dyDescent="0.35">
      <c r="A46" s="163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64"/>
      <c r="Z46" s="165"/>
      <c r="AA46" s="166"/>
      <c r="AB46" s="167" t="str">
        <f>+AB45</f>
        <v>-</v>
      </c>
      <c r="AC46" s="166"/>
      <c r="AD46" s="168"/>
      <c r="AE46" s="169"/>
      <c r="AF46" s="169"/>
      <c r="AG46" s="170"/>
      <c r="AH46" s="171"/>
      <c r="AI46" s="171"/>
      <c r="AJ46" s="344"/>
      <c r="AK46" s="345"/>
      <c r="AL46" s="352"/>
      <c r="AM46" s="353"/>
      <c r="AN46" s="172"/>
      <c r="AO46" s="101" t="str">
        <f t="shared" si="19"/>
        <v/>
      </c>
      <c r="AP46" s="113" t="str">
        <f t="shared" si="20"/>
        <v>-</v>
      </c>
      <c r="AQ46" s="119"/>
      <c r="AR46" s="103" t="str">
        <f t="shared" si="21"/>
        <v/>
      </c>
      <c r="AY46" s="38" t="str">
        <f t="shared" si="1"/>
        <v/>
      </c>
      <c r="AZ46" s="38" t="str">
        <f t="shared" si="2"/>
        <v>0</v>
      </c>
      <c r="BA46" s="38" t="str">
        <f t="shared" si="3"/>
        <v>0</v>
      </c>
      <c r="BB46" s="38" t="str">
        <f t="shared" si="4"/>
        <v>0</v>
      </c>
      <c r="BC46" s="38">
        <f t="shared" si="5"/>
        <v>0</v>
      </c>
      <c r="BD46" s="38">
        <f t="shared" si="6"/>
        <v>0</v>
      </c>
      <c r="BL46" s="38" t="str">
        <f t="shared" si="7"/>
        <v/>
      </c>
      <c r="BM46" s="38" t="str">
        <f t="shared" si="8"/>
        <v/>
      </c>
      <c r="BN46" s="38" t="str">
        <f t="shared" si="9"/>
        <v/>
      </c>
      <c r="BO46" s="38" t="str">
        <f t="shared" si="10"/>
        <v/>
      </c>
      <c r="BP46" s="38" t="str">
        <f t="shared" si="11"/>
        <v/>
      </c>
      <c r="BQ46" s="38" t="str">
        <f t="shared" si="12"/>
        <v/>
      </c>
    </row>
    <row r="47" spans="1:69" ht="18.600000000000001" thickBot="1" x14ac:dyDescent="0.35">
      <c r="A47" s="173" t="s">
        <v>69</v>
      </c>
      <c r="B47" s="174"/>
      <c r="C47" s="174"/>
      <c r="D47" s="174"/>
      <c r="E47" s="174"/>
      <c r="F47" s="174"/>
      <c r="G47" s="174">
        <f>IF(AO52&gt;AR52,AO52,IF(AO52=AR52,AO52,AR52))</f>
        <v>7</v>
      </c>
      <c r="H47" s="175" t="s">
        <v>16</v>
      </c>
      <c r="I47" s="174">
        <f>IF(AO52&gt;AR52,AR52,IF(AO52=AR52,AR52,AO52))</f>
        <v>3</v>
      </c>
      <c r="J47" s="174"/>
      <c r="K47" s="174" t="s">
        <v>70</v>
      </c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6" t="str">
        <f>BE52</f>
        <v>WIT</v>
      </c>
      <c r="W47" s="174"/>
      <c r="X47" s="174"/>
      <c r="Y47" s="174"/>
      <c r="Z47" s="174"/>
      <c r="AA47" s="174"/>
      <c r="AB47" s="174"/>
      <c r="AC47" s="174"/>
      <c r="AD47" s="177"/>
      <c r="AE47" s="178" t="s">
        <v>71</v>
      </c>
      <c r="AF47" s="179"/>
      <c r="AG47" s="179"/>
      <c r="AH47" s="179"/>
      <c r="AI47" s="179"/>
      <c r="AJ47" s="174"/>
      <c r="AK47" s="174"/>
      <c r="AL47" s="403" t="s">
        <v>177</v>
      </c>
      <c r="AM47" s="404"/>
      <c r="AN47" s="404"/>
      <c r="AO47" s="404"/>
      <c r="AP47" s="404"/>
      <c r="AQ47" s="404"/>
      <c r="AR47" s="405"/>
    </row>
    <row r="48" spans="1:69" x14ac:dyDescent="0.3">
      <c r="A48" s="180" t="s">
        <v>72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2"/>
      <c r="P48" s="183" t="s">
        <v>72</v>
      </c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2"/>
      <c r="AC48" s="181"/>
      <c r="AD48" s="184"/>
      <c r="AE48" s="185" t="s">
        <v>72</v>
      </c>
      <c r="AF48" s="186"/>
      <c r="AG48" s="186"/>
      <c r="AH48" s="186"/>
      <c r="AI48" s="186"/>
      <c r="AJ48" s="181"/>
      <c r="AK48" s="181"/>
      <c r="AL48" s="181"/>
      <c r="AM48" s="181"/>
      <c r="AN48" s="181"/>
      <c r="AO48" s="186"/>
      <c r="AP48" s="181"/>
      <c r="AQ48" s="181"/>
      <c r="AR48" s="187"/>
    </row>
    <row r="49" spans="1:57" x14ac:dyDescent="0.3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/>
      <c r="P49" s="191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90"/>
      <c r="AC49" s="189"/>
      <c r="AD49" s="192"/>
      <c r="AE49" s="193"/>
      <c r="AF49" s="193"/>
      <c r="AG49" s="193"/>
      <c r="AH49" s="193"/>
      <c r="AI49" s="193"/>
      <c r="AJ49" s="189"/>
      <c r="AK49" s="189"/>
      <c r="AL49" s="189"/>
      <c r="AM49" s="189"/>
      <c r="AN49" s="189"/>
      <c r="AO49" s="193"/>
      <c r="AP49" s="189"/>
      <c r="AQ49" s="189"/>
      <c r="AR49" s="194"/>
    </row>
    <row r="50" spans="1:57" ht="14.4" thickBot="1" x14ac:dyDescent="0.3">
      <c r="A50" s="195" t="s">
        <v>73</v>
      </c>
      <c r="B50" s="196"/>
      <c r="C50" s="196"/>
      <c r="D50" s="196"/>
      <c r="E50" s="196"/>
      <c r="F50" s="196"/>
      <c r="G50" s="196"/>
      <c r="H50" s="197" t="s">
        <v>74</v>
      </c>
      <c r="I50" s="196"/>
      <c r="J50" s="196"/>
      <c r="K50" s="196"/>
      <c r="L50" s="196"/>
      <c r="M50" s="196"/>
      <c r="N50" s="196"/>
      <c r="O50" s="198"/>
      <c r="P50" s="199" t="s">
        <v>73</v>
      </c>
      <c r="Q50" s="196"/>
      <c r="R50" s="196"/>
      <c r="S50" s="196"/>
      <c r="T50" s="196"/>
      <c r="U50" s="196"/>
      <c r="V50" s="196"/>
      <c r="W50" s="197" t="s">
        <v>75</v>
      </c>
      <c r="X50" s="196"/>
      <c r="Y50" s="196"/>
      <c r="Z50" s="196"/>
      <c r="AA50" s="196"/>
      <c r="AB50" s="198"/>
      <c r="AC50" s="196"/>
      <c r="AD50" s="200"/>
      <c r="AE50" s="201" t="s">
        <v>25</v>
      </c>
      <c r="AF50" s="202"/>
      <c r="AG50" s="202"/>
      <c r="AH50" s="202"/>
      <c r="AI50" s="202"/>
      <c r="AJ50" s="203"/>
      <c r="AK50" s="203"/>
      <c r="AL50" s="203"/>
      <c r="AM50" s="203"/>
      <c r="AN50" s="203"/>
      <c r="AO50" s="202"/>
      <c r="AP50" s="203"/>
      <c r="AQ50" s="203"/>
      <c r="AR50" s="204"/>
    </row>
    <row r="52" spans="1:57" hidden="1" x14ac:dyDescent="0.3">
      <c r="AO52" s="40">
        <f>IF(AO13="","",MAX(AO13:AO46))</f>
        <v>7</v>
      </c>
      <c r="AR52" s="40">
        <f>IF(AR13="","",MAX(AR13:AR46))</f>
        <v>3</v>
      </c>
      <c r="AS52" s="38" t="str">
        <f>IF(AO13="","0","1")</f>
        <v>1</v>
      </c>
      <c r="BE52" s="38" t="str">
        <f>IF(AS52="0","WIT/BLAUW",IF(AO52&gt;AR52,"WIT",IF(AO52=AR52,"GELIJK","BLAUW")))</f>
        <v>WIT</v>
      </c>
    </row>
  </sheetData>
  <sheetProtection sheet="1" objects="1" scenarios="1"/>
  <mergeCells count="107">
    <mergeCell ref="B14:C14"/>
    <mergeCell ref="B15:C15"/>
    <mergeCell ref="B16:C16"/>
    <mergeCell ref="AJ17:AK17"/>
    <mergeCell ref="G4:I4"/>
    <mergeCell ref="K4:M4"/>
    <mergeCell ref="AH6:AR6"/>
    <mergeCell ref="F10:Y12"/>
    <mergeCell ref="Z10:AD12"/>
    <mergeCell ref="AJ10:AK12"/>
    <mergeCell ref="AL10:AM12"/>
    <mergeCell ref="AN10:AR11"/>
    <mergeCell ref="A11:D12"/>
    <mergeCell ref="AN12:AO12"/>
    <mergeCell ref="AQ12:AR12"/>
    <mergeCell ref="B30:C30"/>
    <mergeCell ref="B18:C18"/>
    <mergeCell ref="B19:C19"/>
    <mergeCell ref="B20:C20"/>
    <mergeCell ref="B21:C21"/>
    <mergeCell ref="B22:C22"/>
    <mergeCell ref="B23:C23"/>
    <mergeCell ref="AJ18:AK18"/>
    <mergeCell ref="AJ19:AK19"/>
    <mergeCell ref="AJ20:AK20"/>
    <mergeCell ref="AJ21:AK21"/>
    <mergeCell ref="AJ29:AK29"/>
    <mergeCell ref="AJ30:AK30"/>
    <mergeCell ref="B37:C37"/>
    <mergeCell ref="B38:C38"/>
    <mergeCell ref="B39:C39"/>
    <mergeCell ref="I40:J40"/>
    <mergeCell ref="B31:C31"/>
    <mergeCell ref="B32:C32"/>
    <mergeCell ref="B33:C33"/>
    <mergeCell ref="B34:C34"/>
    <mergeCell ref="B35:C35"/>
    <mergeCell ref="B36:C36"/>
    <mergeCell ref="AL26:AM26"/>
    <mergeCell ref="AL17:AM17"/>
    <mergeCell ref="AL18:AM18"/>
    <mergeCell ref="AL19:AM19"/>
    <mergeCell ref="AL20:AM20"/>
    <mergeCell ref="AL21:AM21"/>
    <mergeCell ref="D3:N3"/>
    <mergeCell ref="AL13:AM13"/>
    <mergeCell ref="AL14:AM14"/>
    <mergeCell ref="AL15:AM15"/>
    <mergeCell ref="AL16:AM16"/>
    <mergeCell ref="AJ13:AK13"/>
    <mergeCell ref="AJ14:AK14"/>
    <mergeCell ref="AJ15:AK15"/>
    <mergeCell ref="AJ16:AK16"/>
    <mergeCell ref="I24:J24"/>
    <mergeCell ref="F25:Y28"/>
    <mergeCell ref="A26:D28"/>
    <mergeCell ref="AL27:AM27"/>
    <mergeCell ref="AL28:AM28"/>
    <mergeCell ref="AJ27:AK27"/>
    <mergeCell ref="AJ28:AK28"/>
    <mergeCell ref="B17:C17"/>
    <mergeCell ref="D4:E4"/>
    <mergeCell ref="BF4:BI6"/>
    <mergeCell ref="AL47:AR47"/>
    <mergeCell ref="AL44:AM44"/>
    <mergeCell ref="AL45:AM45"/>
    <mergeCell ref="AL46:AM46"/>
    <mergeCell ref="AL39:AM39"/>
    <mergeCell ref="AL40:AM40"/>
    <mergeCell ref="AL41:AM41"/>
    <mergeCell ref="AL42:AM42"/>
    <mergeCell ref="AL43:AM43"/>
    <mergeCell ref="AL34:AM34"/>
    <mergeCell ref="AL35:AM35"/>
    <mergeCell ref="AL36:AM36"/>
    <mergeCell ref="AL37:AM37"/>
    <mergeCell ref="AL38:AM38"/>
    <mergeCell ref="AL29:AM29"/>
    <mergeCell ref="AL30:AM30"/>
    <mergeCell ref="AL31:AM31"/>
    <mergeCell ref="AL32:AM32"/>
    <mergeCell ref="AL33:AM33"/>
    <mergeCell ref="AL22:AM22"/>
    <mergeCell ref="AL23:AM23"/>
    <mergeCell ref="AL24:AM24"/>
    <mergeCell ref="AL25:AM25"/>
    <mergeCell ref="AJ31:AK31"/>
    <mergeCell ref="AJ32:AK32"/>
    <mergeCell ref="AJ33:AK33"/>
    <mergeCell ref="AJ22:AK22"/>
    <mergeCell ref="AJ23:AK23"/>
    <mergeCell ref="AJ24:AK24"/>
    <mergeCell ref="AJ25:AK25"/>
    <mergeCell ref="AJ26:AK26"/>
    <mergeCell ref="AJ44:AK44"/>
    <mergeCell ref="AJ45:AK45"/>
    <mergeCell ref="AJ46:AK46"/>
    <mergeCell ref="AJ39:AK39"/>
    <mergeCell ref="AJ40:AK40"/>
    <mergeCell ref="AJ41:AK41"/>
    <mergeCell ref="AJ42:AK42"/>
    <mergeCell ref="AJ43:AK43"/>
    <mergeCell ref="AJ34:AK34"/>
    <mergeCell ref="AJ35:AK35"/>
    <mergeCell ref="AJ36:AK36"/>
    <mergeCell ref="AJ37:AK37"/>
    <mergeCell ref="AJ38:AK38"/>
  </mergeCells>
  <dataValidations count="1">
    <dataValidation type="list" allowBlank="1" showInputMessage="1" showErrorMessage="1" sqref="AL47:AR47" xr:uid="{7EDEBB68-E155-4250-A69E-B9965CAE467C}">
      <formula1>"JA/NEE,JA,NEE"</formula1>
    </dataValidation>
  </dataValidations>
  <hyperlinks>
    <hyperlink ref="BF4:BI6" location="Wedstrijden!A1" display="Wedstrijdschema" xr:uid="{EDB9F988-2267-4552-9544-F67DECDC76E8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4"/>
  <dimension ref="A1:IV52"/>
  <sheetViews>
    <sheetView workbookViewId="0">
      <selection activeCell="BF4" sqref="BF4:BI6"/>
    </sheetView>
  </sheetViews>
  <sheetFormatPr defaultRowHeight="13.8" x14ac:dyDescent="0.3"/>
  <cols>
    <col min="1" max="6" width="2.33203125" style="38" customWidth="1"/>
    <col min="7" max="7" width="3.33203125" style="38" customWidth="1"/>
    <col min="8" max="8" width="2.33203125" style="38" customWidth="1"/>
    <col min="9" max="9" width="3.33203125" style="38" customWidth="1"/>
    <col min="10" max="25" width="2.33203125" style="38" customWidth="1"/>
    <col min="26" max="28" width="2.109375" style="38" customWidth="1"/>
    <col min="29" max="29" width="3" style="38" customWidth="1"/>
    <col min="30" max="30" width="2.109375" style="39" customWidth="1"/>
    <col min="31" max="35" width="2.33203125" style="40" customWidth="1"/>
    <col min="36" max="39" width="2.33203125" style="38" customWidth="1"/>
    <col min="40" max="40" width="2.109375" style="38" customWidth="1"/>
    <col min="41" max="41" width="3.33203125" style="40" customWidth="1"/>
    <col min="42" max="43" width="2.109375" style="38" customWidth="1"/>
    <col min="44" max="44" width="3.33203125" style="40" customWidth="1"/>
    <col min="45" max="45" width="9.109375" style="38"/>
    <col min="46" max="56" width="9.109375" style="38" hidden="1" customWidth="1"/>
    <col min="57" max="62" width="9.109375" style="38"/>
    <col min="63" max="69" width="0" style="38" hidden="1" customWidth="1"/>
    <col min="70" max="256" width="9.109375" style="38"/>
    <col min="257" max="281" width="2.33203125" style="38" customWidth="1"/>
    <col min="282" max="286" width="2.109375" style="38" customWidth="1"/>
    <col min="287" max="295" width="2.33203125" style="38" customWidth="1"/>
    <col min="296" max="300" width="2.109375" style="38" customWidth="1"/>
    <col min="301" max="512" width="9.109375" style="38"/>
    <col min="513" max="537" width="2.33203125" style="38" customWidth="1"/>
    <col min="538" max="542" width="2.109375" style="38" customWidth="1"/>
    <col min="543" max="551" width="2.33203125" style="38" customWidth="1"/>
    <col min="552" max="556" width="2.109375" style="38" customWidth="1"/>
    <col min="557" max="768" width="9.109375" style="38"/>
    <col min="769" max="793" width="2.33203125" style="38" customWidth="1"/>
    <col min="794" max="798" width="2.109375" style="38" customWidth="1"/>
    <col min="799" max="807" width="2.33203125" style="38" customWidth="1"/>
    <col min="808" max="812" width="2.109375" style="38" customWidth="1"/>
    <col min="813" max="1024" width="9.109375" style="38"/>
    <col min="1025" max="1049" width="2.33203125" style="38" customWidth="1"/>
    <col min="1050" max="1054" width="2.109375" style="38" customWidth="1"/>
    <col min="1055" max="1063" width="2.33203125" style="38" customWidth="1"/>
    <col min="1064" max="1068" width="2.109375" style="38" customWidth="1"/>
    <col min="1069" max="1280" width="9.109375" style="38"/>
    <col min="1281" max="1305" width="2.33203125" style="38" customWidth="1"/>
    <col min="1306" max="1310" width="2.109375" style="38" customWidth="1"/>
    <col min="1311" max="1319" width="2.33203125" style="38" customWidth="1"/>
    <col min="1320" max="1324" width="2.109375" style="38" customWidth="1"/>
    <col min="1325" max="1536" width="9.109375" style="38"/>
    <col min="1537" max="1561" width="2.33203125" style="38" customWidth="1"/>
    <col min="1562" max="1566" width="2.109375" style="38" customWidth="1"/>
    <col min="1567" max="1575" width="2.33203125" style="38" customWidth="1"/>
    <col min="1576" max="1580" width="2.109375" style="38" customWidth="1"/>
    <col min="1581" max="1792" width="9.109375" style="38"/>
    <col min="1793" max="1817" width="2.33203125" style="38" customWidth="1"/>
    <col min="1818" max="1822" width="2.109375" style="38" customWidth="1"/>
    <col min="1823" max="1831" width="2.33203125" style="38" customWidth="1"/>
    <col min="1832" max="1836" width="2.109375" style="38" customWidth="1"/>
    <col min="1837" max="2048" width="9.109375" style="38"/>
    <col min="2049" max="2073" width="2.33203125" style="38" customWidth="1"/>
    <col min="2074" max="2078" width="2.109375" style="38" customWidth="1"/>
    <col min="2079" max="2087" width="2.33203125" style="38" customWidth="1"/>
    <col min="2088" max="2092" width="2.109375" style="38" customWidth="1"/>
    <col min="2093" max="2304" width="9.109375" style="38"/>
    <col min="2305" max="2329" width="2.33203125" style="38" customWidth="1"/>
    <col min="2330" max="2334" width="2.109375" style="38" customWidth="1"/>
    <col min="2335" max="2343" width="2.33203125" style="38" customWidth="1"/>
    <col min="2344" max="2348" width="2.109375" style="38" customWidth="1"/>
    <col min="2349" max="2560" width="9.109375" style="38"/>
    <col min="2561" max="2585" width="2.33203125" style="38" customWidth="1"/>
    <col min="2586" max="2590" width="2.109375" style="38" customWidth="1"/>
    <col min="2591" max="2599" width="2.33203125" style="38" customWidth="1"/>
    <col min="2600" max="2604" width="2.109375" style="38" customWidth="1"/>
    <col min="2605" max="2816" width="9.109375" style="38"/>
    <col min="2817" max="2841" width="2.33203125" style="38" customWidth="1"/>
    <col min="2842" max="2846" width="2.109375" style="38" customWidth="1"/>
    <col min="2847" max="2855" width="2.33203125" style="38" customWidth="1"/>
    <col min="2856" max="2860" width="2.109375" style="38" customWidth="1"/>
    <col min="2861" max="3072" width="9.109375" style="38"/>
    <col min="3073" max="3097" width="2.33203125" style="38" customWidth="1"/>
    <col min="3098" max="3102" width="2.109375" style="38" customWidth="1"/>
    <col min="3103" max="3111" width="2.33203125" style="38" customWidth="1"/>
    <col min="3112" max="3116" width="2.109375" style="38" customWidth="1"/>
    <col min="3117" max="3328" width="9.109375" style="38"/>
    <col min="3329" max="3353" width="2.33203125" style="38" customWidth="1"/>
    <col min="3354" max="3358" width="2.109375" style="38" customWidth="1"/>
    <col min="3359" max="3367" width="2.33203125" style="38" customWidth="1"/>
    <col min="3368" max="3372" width="2.109375" style="38" customWidth="1"/>
    <col min="3373" max="3584" width="9.109375" style="38"/>
    <col min="3585" max="3609" width="2.33203125" style="38" customWidth="1"/>
    <col min="3610" max="3614" width="2.109375" style="38" customWidth="1"/>
    <col min="3615" max="3623" width="2.33203125" style="38" customWidth="1"/>
    <col min="3624" max="3628" width="2.109375" style="38" customWidth="1"/>
    <col min="3629" max="3840" width="9.109375" style="38"/>
    <col min="3841" max="3865" width="2.33203125" style="38" customWidth="1"/>
    <col min="3866" max="3870" width="2.109375" style="38" customWidth="1"/>
    <col min="3871" max="3879" width="2.33203125" style="38" customWidth="1"/>
    <col min="3880" max="3884" width="2.109375" style="38" customWidth="1"/>
    <col min="3885" max="4096" width="9.109375" style="38"/>
    <col min="4097" max="4121" width="2.33203125" style="38" customWidth="1"/>
    <col min="4122" max="4126" width="2.109375" style="38" customWidth="1"/>
    <col min="4127" max="4135" width="2.33203125" style="38" customWidth="1"/>
    <col min="4136" max="4140" width="2.109375" style="38" customWidth="1"/>
    <col min="4141" max="4352" width="9.109375" style="38"/>
    <col min="4353" max="4377" width="2.33203125" style="38" customWidth="1"/>
    <col min="4378" max="4382" width="2.109375" style="38" customWidth="1"/>
    <col min="4383" max="4391" width="2.33203125" style="38" customWidth="1"/>
    <col min="4392" max="4396" width="2.109375" style="38" customWidth="1"/>
    <col min="4397" max="4608" width="9.109375" style="38"/>
    <col min="4609" max="4633" width="2.33203125" style="38" customWidth="1"/>
    <col min="4634" max="4638" width="2.109375" style="38" customWidth="1"/>
    <col min="4639" max="4647" width="2.33203125" style="38" customWidth="1"/>
    <col min="4648" max="4652" width="2.109375" style="38" customWidth="1"/>
    <col min="4653" max="4864" width="9.109375" style="38"/>
    <col min="4865" max="4889" width="2.33203125" style="38" customWidth="1"/>
    <col min="4890" max="4894" width="2.109375" style="38" customWidth="1"/>
    <col min="4895" max="4903" width="2.33203125" style="38" customWidth="1"/>
    <col min="4904" max="4908" width="2.109375" style="38" customWidth="1"/>
    <col min="4909" max="5120" width="9.109375" style="38"/>
    <col min="5121" max="5145" width="2.33203125" style="38" customWidth="1"/>
    <col min="5146" max="5150" width="2.109375" style="38" customWidth="1"/>
    <col min="5151" max="5159" width="2.33203125" style="38" customWidth="1"/>
    <col min="5160" max="5164" width="2.109375" style="38" customWidth="1"/>
    <col min="5165" max="5376" width="9.109375" style="38"/>
    <col min="5377" max="5401" width="2.33203125" style="38" customWidth="1"/>
    <col min="5402" max="5406" width="2.109375" style="38" customWidth="1"/>
    <col min="5407" max="5415" width="2.33203125" style="38" customWidth="1"/>
    <col min="5416" max="5420" width="2.109375" style="38" customWidth="1"/>
    <col min="5421" max="5632" width="9.109375" style="38"/>
    <col min="5633" max="5657" width="2.33203125" style="38" customWidth="1"/>
    <col min="5658" max="5662" width="2.109375" style="38" customWidth="1"/>
    <col min="5663" max="5671" width="2.33203125" style="38" customWidth="1"/>
    <col min="5672" max="5676" width="2.109375" style="38" customWidth="1"/>
    <col min="5677" max="5888" width="9.109375" style="38"/>
    <col min="5889" max="5913" width="2.33203125" style="38" customWidth="1"/>
    <col min="5914" max="5918" width="2.109375" style="38" customWidth="1"/>
    <col min="5919" max="5927" width="2.33203125" style="38" customWidth="1"/>
    <col min="5928" max="5932" width="2.109375" style="38" customWidth="1"/>
    <col min="5933" max="6144" width="9.109375" style="38"/>
    <col min="6145" max="6169" width="2.33203125" style="38" customWidth="1"/>
    <col min="6170" max="6174" width="2.109375" style="38" customWidth="1"/>
    <col min="6175" max="6183" width="2.33203125" style="38" customWidth="1"/>
    <col min="6184" max="6188" width="2.109375" style="38" customWidth="1"/>
    <col min="6189" max="6400" width="9.109375" style="38"/>
    <col min="6401" max="6425" width="2.33203125" style="38" customWidth="1"/>
    <col min="6426" max="6430" width="2.109375" style="38" customWidth="1"/>
    <col min="6431" max="6439" width="2.33203125" style="38" customWidth="1"/>
    <col min="6440" max="6444" width="2.109375" style="38" customWidth="1"/>
    <col min="6445" max="6656" width="9.109375" style="38"/>
    <col min="6657" max="6681" width="2.33203125" style="38" customWidth="1"/>
    <col min="6682" max="6686" width="2.109375" style="38" customWidth="1"/>
    <col min="6687" max="6695" width="2.33203125" style="38" customWidth="1"/>
    <col min="6696" max="6700" width="2.109375" style="38" customWidth="1"/>
    <col min="6701" max="6912" width="9.109375" style="38"/>
    <col min="6913" max="6937" width="2.33203125" style="38" customWidth="1"/>
    <col min="6938" max="6942" width="2.109375" style="38" customWidth="1"/>
    <col min="6943" max="6951" width="2.33203125" style="38" customWidth="1"/>
    <col min="6952" max="6956" width="2.109375" style="38" customWidth="1"/>
    <col min="6957" max="7168" width="9.109375" style="38"/>
    <col min="7169" max="7193" width="2.33203125" style="38" customWidth="1"/>
    <col min="7194" max="7198" width="2.109375" style="38" customWidth="1"/>
    <col min="7199" max="7207" width="2.33203125" style="38" customWidth="1"/>
    <col min="7208" max="7212" width="2.109375" style="38" customWidth="1"/>
    <col min="7213" max="7424" width="9.109375" style="38"/>
    <col min="7425" max="7449" width="2.33203125" style="38" customWidth="1"/>
    <col min="7450" max="7454" width="2.109375" style="38" customWidth="1"/>
    <col min="7455" max="7463" width="2.33203125" style="38" customWidth="1"/>
    <col min="7464" max="7468" width="2.109375" style="38" customWidth="1"/>
    <col min="7469" max="7680" width="9.109375" style="38"/>
    <col min="7681" max="7705" width="2.33203125" style="38" customWidth="1"/>
    <col min="7706" max="7710" width="2.109375" style="38" customWidth="1"/>
    <col min="7711" max="7719" width="2.33203125" style="38" customWidth="1"/>
    <col min="7720" max="7724" width="2.109375" style="38" customWidth="1"/>
    <col min="7725" max="7936" width="9.109375" style="38"/>
    <col min="7937" max="7961" width="2.33203125" style="38" customWidth="1"/>
    <col min="7962" max="7966" width="2.109375" style="38" customWidth="1"/>
    <col min="7967" max="7975" width="2.33203125" style="38" customWidth="1"/>
    <col min="7976" max="7980" width="2.109375" style="38" customWidth="1"/>
    <col min="7981" max="8192" width="9.109375" style="38"/>
    <col min="8193" max="8217" width="2.33203125" style="38" customWidth="1"/>
    <col min="8218" max="8222" width="2.109375" style="38" customWidth="1"/>
    <col min="8223" max="8231" width="2.33203125" style="38" customWidth="1"/>
    <col min="8232" max="8236" width="2.109375" style="38" customWidth="1"/>
    <col min="8237" max="8448" width="9.109375" style="38"/>
    <col min="8449" max="8473" width="2.33203125" style="38" customWidth="1"/>
    <col min="8474" max="8478" width="2.109375" style="38" customWidth="1"/>
    <col min="8479" max="8487" width="2.33203125" style="38" customWidth="1"/>
    <col min="8488" max="8492" width="2.109375" style="38" customWidth="1"/>
    <col min="8493" max="8704" width="9.109375" style="38"/>
    <col min="8705" max="8729" width="2.33203125" style="38" customWidth="1"/>
    <col min="8730" max="8734" width="2.109375" style="38" customWidth="1"/>
    <col min="8735" max="8743" width="2.33203125" style="38" customWidth="1"/>
    <col min="8744" max="8748" width="2.109375" style="38" customWidth="1"/>
    <col min="8749" max="8960" width="9.109375" style="38"/>
    <col min="8961" max="8985" width="2.33203125" style="38" customWidth="1"/>
    <col min="8986" max="8990" width="2.109375" style="38" customWidth="1"/>
    <col min="8991" max="8999" width="2.33203125" style="38" customWidth="1"/>
    <col min="9000" max="9004" width="2.109375" style="38" customWidth="1"/>
    <col min="9005" max="9216" width="9.109375" style="38"/>
    <col min="9217" max="9241" width="2.33203125" style="38" customWidth="1"/>
    <col min="9242" max="9246" width="2.109375" style="38" customWidth="1"/>
    <col min="9247" max="9255" width="2.33203125" style="38" customWidth="1"/>
    <col min="9256" max="9260" width="2.109375" style="38" customWidth="1"/>
    <col min="9261" max="9472" width="9.109375" style="38"/>
    <col min="9473" max="9497" width="2.33203125" style="38" customWidth="1"/>
    <col min="9498" max="9502" width="2.109375" style="38" customWidth="1"/>
    <col min="9503" max="9511" width="2.33203125" style="38" customWidth="1"/>
    <col min="9512" max="9516" width="2.109375" style="38" customWidth="1"/>
    <col min="9517" max="9728" width="9.109375" style="38"/>
    <col min="9729" max="9753" width="2.33203125" style="38" customWidth="1"/>
    <col min="9754" max="9758" width="2.109375" style="38" customWidth="1"/>
    <col min="9759" max="9767" width="2.33203125" style="38" customWidth="1"/>
    <col min="9768" max="9772" width="2.109375" style="38" customWidth="1"/>
    <col min="9773" max="9984" width="9.109375" style="38"/>
    <col min="9985" max="10009" width="2.33203125" style="38" customWidth="1"/>
    <col min="10010" max="10014" width="2.109375" style="38" customWidth="1"/>
    <col min="10015" max="10023" width="2.33203125" style="38" customWidth="1"/>
    <col min="10024" max="10028" width="2.109375" style="38" customWidth="1"/>
    <col min="10029" max="10240" width="9.109375" style="38"/>
    <col min="10241" max="10265" width="2.33203125" style="38" customWidth="1"/>
    <col min="10266" max="10270" width="2.109375" style="38" customWidth="1"/>
    <col min="10271" max="10279" width="2.33203125" style="38" customWidth="1"/>
    <col min="10280" max="10284" width="2.109375" style="38" customWidth="1"/>
    <col min="10285" max="10496" width="9.109375" style="38"/>
    <col min="10497" max="10521" width="2.33203125" style="38" customWidth="1"/>
    <col min="10522" max="10526" width="2.109375" style="38" customWidth="1"/>
    <col min="10527" max="10535" width="2.33203125" style="38" customWidth="1"/>
    <col min="10536" max="10540" width="2.109375" style="38" customWidth="1"/>
    <col min="10541" max="10752" width="9.109375" style="38"/>
    <col min="10753" max="10777" width="2.33203125" style="38" customWidth="1"/>
    <col min="10778" max="10782" width="2.109375" style="38" customWidth="1"/>
    <col min="10783" max="10791" width="2.33203125" style="38" customWidth="1"/>
    <col min="10792" max="10796" width="2.109375" style="38" customWidth="1"/>
    <col min="10797" max="11008" width="9.109375" style="38"/>
    <col min="11009" max="11033" width="2.33203125" style="38" customWidth="1"/>
    <col min="11034" max="11038" width="2.109375" style="38" customWidth="1"/>
    <col min="11039" max="11047" width="2.33203125" style="38" customWidth="1"/>
    <col min="11048" max="11052" width="2.109375" style="38" customWidth="1"/>
    <col min="11053" max="11264" width="9.109375" style="38"/>
    <col min="11265" max="11289" width="2.33203125" style="38" customWidth="1"/>
    <col min="11290" max="11294" width="2.109375" style="38" customWidth="1"/>
    <col min="11295" max="11303" width="2.33203125" style="38" customWidth="1"/>
    <col min="11304" max="11308" width="2.109375" style="38" customWidth="1"/>
    <col min="11309" max="11520" width="9.109375" style="38"/>
    <col min="11521" max="11545" width="2.33203125" style="38" customWidth="1"/>
    <col min="11546" max="11550" width="2.109375" style="38" customWidth="1"/>
    <col min="11551" max="11559" width="2.33203125" style="38" customWidth="1"/>
    <col min="11560" max="11564" width="2.109375" style="38" customWidth="1"/>
    <col min="11565" max="11776" width="9.109375" style="38"/>
    <col min="11777" max="11801" width="2.33203125" style="38" customWidth="1"/>
    <col min="11802" max="11806" width="2.109375" style="38" customWidth="1"/>
    <col min="11807" max="11815" width="2.33203125" style="38" customWidth="1"/>
    <col min="11816" max="11820" width="2.109375" style="38" customWidth="1"/>
    <col min="11821" max="12032" width="9.109375" style="38"/>
    <col min="12033" max="12057" width="2.33203125" style="38" customWidth="1"/>
    <col min="12058" max="12062" width="2.109375" style="38" customWidth="1"/>
    <col min="12063" max="12071" width="2.33203125" style="38" customWidth="1"/>
    <col min="12072" max="12076" width="2.109375" style="38" customWidth="1"/>
    <col min="12077" max="12288" width="9.109375" style="38"/>
    <col min="12289" max="12313" width="2.33203125" style="38" customWidth="1"/>
    <col min="12314" max="12318" width="2.109375" style="38" customWidth="1"/>
    <col min="12319" max="12327" width="2.33203125" style="38" customWidth="1"/>
    <col min="12328" max="12332" width="2.109375" style="38" customWidth="1"/>
    <col min="12333" max="12544" width="9.109375" style="38"/>
    <col min="12545" max="12569" width="2.33203125" style="38" customWidth="1"/>
    <col min="12570" max="12574" width="2.109375" style="38" customWidth="1"/>
    <col min="12575" max="12583" width="2.33203125" style="38" customWidth="1"/>
    <col min="12584" max="12588" width="2.109375" style="38" customWidth="1"/>
    <col min="12589" max="12800" width="9.109375" style="38"/>
    <col min="12801" max="12825" width="2.33203125" style="38" customWidth="1"/>
    <col min="12826" max="12830" width="2.109375" style="38" customWidth="1"/>
    <col min="12831" max="12839" width="2.33203125" style="38" customWidth="1"/>
    <col min="12840" max="12844" width="2.109375" style="38" customWidth="1"/>
    <col min="12845" max="13056" width="9.109375" style="38"/>
    <col min="13057" max="13081" width="2.33203125" style="38" customWidth="1"/>
    <col min="13082" max="13086" width="2.109375" style="38" customWidth="1"/>
    <col min="13087" max="13095" width="2.33203125" style="38" customWidth="1"/>
    <col min="13096" max="13100" width="2.109375" style="38" customWidth="1"/>
    <col min="13101" max="13312" width="9.109375" style="38"/>
    <col min="13313" max="13337" width="2.33203125" style="38" customWidth="1"/>
    <col min="13338" max="13342" width="2.109375" style="38" customWidth="1"/>
    <col min="13343" max="13351" width="2.33203125" style="38" customWidth="1"/>
    <col min="13352" max="13356" width="2.109375" style="38" customWidth="1"/>
    <col min="13357" max="13568" width="9.109375" style="38"/>
    <col min="13569" max="13593" width="2.33203125" style="38" customWidth="1"/>
    <col min="13594" max="13598" width="2.109375" style="38" customWidth="1"/>
    <col min="13599" max="13607" width="2.33203125" style="38" customWidth="1"/>
    <col min="13608" max="13612" width="2.109375" style="38" customWidth="1"/>
    <col min="13613" max="13824" width="9.109375" style="38"/>
    <col min="13825" max="13849" width="2.33203125" style="38" customWidth="1"/>
    <col min="13850" max="13854" width="2.109375" style="38" customWidth="1"/>
    <col min="13855" max="13863" width="2.33203125" style="38" customWidth="1"/>
    <col min="13864" max="13868" width="2.109375" style="38" customWidth="1"/>
    <col min="13869" max="14080" width="9.109375" style="38"/>
    <col min="14081" max="14105" width="2.33203125" style="38" customWidth="1"/>
    <col min="14106" max="14110" width="2.109375" style="38" customWidth="1"/>
    <col min="14111" max="14119" width="2.33203125" style="38" customWidth="1"/>
    <col min="14120" max="14124" width="2.109375" style="38" customWidth="1"/>
    <col min="14125" max="14336" width="9.109375" style="38"/>
    <col min="14337" max="14361" width="2.33203125" style="38" customWidth="1"/>
    <col min="14362" max="14366" width="2.109375" style="38" customWidth="1"/>
    <col min="14367" max="14375" width="2.33203125" style="38" customWidth="1"/>
    <col min="14376" max="14380" width="2.109375" style="38" customWidth="1"/>
    <col min="14381" max="14592" width="9.109375" style="38"/>
    <col min="14593" max="14617" width="2.33203125" style="38" customWidth="1"/>
    <col min="14618" max="14622" width="2.109375" style="38" customWidth="1"/>
    <col min="14623" max="14631" width="2.33203125" style="38" customWidth="1"/>
    <col min="14632" max="14636" width="2.109375" style="38" customWidth="1"/>
    <col min="14637" max="14848" width="9.109375" style="38"/>
    <col min="14849" max="14873" width="2.33203125" style="38" customWidth="1"/>
    <col min="14874" max="14878" width="2.109375" style="38" customWidth="1"/>
    <col min="14879" max="14887" width="2.33203125" style="38" customWidth="1"/>
    <col min="14888" max="14892" width="2.109375" style="38" customWidth="1"/>
    <col min="14893" max="15104" width="9.109375" style="38"/>
    <col min="15105" max="15129" width="2.33203125" style="38" customWidth="1"/>
    <col min="15130" max="15134" width="2.109375" style="38" customWidth="1"/>
    <col min="15135" max="15143" width="2.33203125" style="38" customWidth="1"/>
    <col min="15144" max="15148" width="2.109375" style="38" customWidth="1"/>
    <col min="15149" max="15360" width="9.109375" style="38"/>
    <col min="15361" max="15385" width="2.33203125" style="38" customWidth="1"/>
    <col min="15386" max="15390" width="2.109375" style="38" customWidth="1"/>
    <col min="15391" max="15399" width="2.33203125" style="38" customWidth="1"/>
    <col min="15400" max="15404" width="2.109375" style="38" customWidth="1"/>
    <col min="15405" max="15616" width="9.109375" style="38"/>
    <col min="15617" max="15641" width="2.33203125" style="38" customWidth="1"/>
    <col min="15642" max="15646" width="2.109375" style="38" customWidth="1"/>
    <col min="15647" max="15655" width="2.33203125" style="38" customWidth="1"/>
    <col min="15656" max="15660" width="2.109375" style="38" customWidth="1"/>
    <col min="15661" max="15872" width="9.109375" style="38"/>
    <col min="15873" max="15897" width="2.33203125" style="38" customWidth="1"/>
    <col min="15898" max="15902" width="2.109375" style="38" customWidth="1"/>
    <col min="15903" max="15911" width="2.33203125" style="38" customWidth="1"/>
    <col min="15912" max="15916" width="2.109375" style="38" customWidth="1"/>
    <col min="15917" max="16128" width="9.109375" style="38"/>
    <col min="16129" max="16153" width="2.33203125" style="38" customWidth="1"/>
    <col min="16154" max="16158" width="2.109375" style="38" customWidth="1"/>
    <col min="16159" max="16167" width="2.33203125" style="38" customWidth="1"/>
    <col min="16168" max="16172" width="2.109375" style="38" customWidth="1"/>
    <col min="16173" max="16384" width="9.109375" style="38"/>
  </cols>
  <sheetData>
    <row r="1" spans="1:256" ht="20.399999999999999" x14ac:dyDescent="0.3">
      <c r="A1" s="37" t="s">
        <v>40</v>
      </c>
      <c r="AO1" s="41">
        <v>0</v>
      </c>
      <c r="AP1" s="42"/>
      <c r="AQ1" s="42"/>
      <c r="AR1" s="41">
        <v>0</v>
      </c>
      <c r="AV1" s="43">
        <v>1.3888888888888888E-2</v>
      </c>
    </row>
    <row r="2" spans="1:256" x14ac:dyDescent="0.3">
      <c r="A2" s="38" t="s">
        <v>42</v>
      </c>
      <c r="E2" s="38" t="s">
        <v>76</v>
      </c>
      <c r="P2" s="44" t="s">
        <v>22</v>
      </c>
      <c r="Q2" s="45"/>
      <c r="R2" s="45"/>
      <c r="S2" s="45"/>
      <c r="T2" s="45"/>
      <c r="U2" s="45"/>
      <c r="V2" s="45"/>
      <c r="W2" s="45" t="s">
        <v>3</v>
      </c>
      <c r="X2" s="45"/>
      <c r="Y2" s="46" t="s">
        <v>41</v>
      </c>
      <c r="Z2" s="45"/>
      <c r="AA2" s="45"/>
      <c r="AB2" s="45"/>
      <c r="AC2" s="45"/>
      <c r="AD2" s="47"/>
      <c r="AE2" s="48"/>
      <c r="AF2" s="48"/>
      <c r="AG2" s="49"/>
    </row>
    <row r="3" spans="1:256" ht="15" thickBot="1" x14ac:dyDescent="0.35">
      <c r="A3" s="38" t="s">
        <v>19</v>
      </c>
      <c r="D3" s="415">
        <f>Wedstrijden!I2</f>
        <v>45732</v>
      </c>
      <c r="E3" s="416"/>
      <c r="F3" s="416"/>
      <c r="G3" s="416"/>
      <c r="H3" s="416"/>
      <c r="I3" s="416"/>
      <c r="J3" s="416"/>
      <c r="K3" s="416"/>
      <c r="L3" s="416"/>
      <c r="M3" s="416"/>
      <c r="N3" s="417"/>
      <c r="P3" s="50" t="s">
        <v>18</v>
      </c>
      <c r="Q3" s="51" t="s">
        <v>43</v>
      </c>
      <c r="W3" s="38" t="s">
        <v>0</v>
      </c>
      <c r="Y3" s="51" t="s">
        <v>44</v>
      </c>
      <c r="AG3" s="52"/>
    </row>
    <row r="4" spans="1:256" x14ac:dyDescent="0.3">
      <c r="A4" s="38" t="s">
        <v>20</v>
      </c>
      <c r="D4" s="418">
        <v>13</v>
      </c>
      <c r="E4" s="418"/>
      <c r="F4" s="53"/>
      <c r="G4" s="419">
        <f>VLOOKUP(D4,Wedstrijden!A6:B57,2,0)</f>
        <v>0.64583333333333337</v>
      </c>
      <c r="H4" s="419"/>
      <c r="I4" s="419"/>
      <c r="J4" s="54" t="s">
        <v>16</v>
      </c>
      <c r="K4" s="419">
        <f>G4+AV1</f>
        <v>0.65972222222222221</v>
      </c>
      <c r="L4" s="419"/>
      <c r="M4" s="419"/>
      <c r="P4" s="50" t="s">
        <v>17</v>
      </c>
      <c r="Q4" s="51" t="s">
        <v>45</v>
      </c>
      <c r="W4" s="38" t="s">
        <v>9</v>
      </c>
      <c r="Y4" s="51" t="s">
        <v>46</v>
      </c>
      <c r="AG4" s="52"/>
      <c r="BF4" s="406" t="s">
        <v>102</v>
      </c>
      <c r="BG4" s="407"/>
      <c r="BH4" s="407"/>
      <c r="BI4" s="408"/>
    </row>
    <row r="5" spans="1:256" x14ac:dyDescent="0.3">
      <c r="A5" s="38" t="s">
        <v>164</v>
      </c>
      <c r="D5" s="260" t="str">
        <f>VLOOKUP(D4,Wedstrijden!A6:D20,4,0)</f>
        <v>A</v>
      </c>
      <c r="N5" s="53"/>
      <c r="P5" s="50" t="s">
        <v>10</v>
      </c>
      <c r="Q5" s="51" t="s">
        <v>47</v>
      </c>
      <c r="W5" s="38" t="s">
        <v>12</v>
      </c>
      <c r="Y5" s="51" t="s">
        <v>48</v>
      </c>
      <c r="AG5" s="52"/>
      <c r="BF5" s="409"/>
      <c r="BG5" s="410"/>
      <c r="BH5" s="410"/>
      <c r="BI5" s="411"/>
    </row>
    <row r="6" spans="1:256" ht="14.4" thickBot="1" x14ac:dyDescent="0.2">
      <c r="A6" s="38" t="s">
        <v>21</v>
      </c>
      <c r="D6" s="55" t="str">
        <f>Wedstrijden!K2</f>
        <v>Den Bosch</v>
      </c>
      <c r="P6" s="50" t="s">
        <v>11</v>
      </c>
      <c r="Q6" s="51" t="s">
        <v>49</v>
      </c>
      <c r="W6" s="38" t="s">
        <v>13</v>
      </c>
      <c r="Y6" s="51" t="s">
        <v>50</v>
      </c>
      <c r="AG6" s="52"/>
      <c r="AH6" s="354" t="s">
        <v>51</v>
      </c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BF6" s="412"/>
      <c r="BG6" s="413"/>
      <c r="BH6" s="413"/>
      <c r="BI6" s="414"/>
    </row>
    <row r="7" spans="1:256" x14ac:dyDescent="0.2">
      <c r="A7" s="56" t="s">
        <v>52</v>
      </c>
      <c r="B7" s="57"/>
      <c r="C7" s="57"/>
      <c r="D7" s="57"/>
      <c r="E7" s="58" t="s">
        <v>53</v>
      </c>
      <c r="F7" s="57"/>
      <c r="G7" s="59" t="str">
        <f>VLOOKUP(D4,Wedstrijden!A6:L57,5,0)</f>
        <v>De Tubanten 1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 t="s">
        <v>54</v>
      </c>
      <c r="X7" s="57"/>
      <c r="Y7" s="57"/>
      <c r="Z7" s="58" t="s">
        <v>55</v>
      </c>
      <c r="AA7" s="58"/>
      <c r="AB7" s="57"/>
      <c r="AC7" s="59" t="str">
        <f>VLOOKUP(D4,Wedstrijden!A6:L57,9,0)</f>
        <v>RZ Roermond</v>
      </c>
      <c r="AD7" s="60"/>
      <c r="AE7" s="61"/>
      <c r="AF7" s="61"/>
      <c r="AG7" s="61"/>
      <c r="AH7" s="61"/>
      <c r="AI7" s="61"/>
      <c r="AJ7" s="57"/>
      <c r="AK7" s="57"/>
      <c r="AL7" s="57"/>
      <c r="AM7" s="57"/>
      <c r="AN7" s="57"/>
      <c r="AO7" s="61"/>
      <c r="AP7" s="57"/>
      <c r="AQ7" s="57"/>
      <c r="AR7" s="62"/>
    </row>
    <row r="8" spans="1:256" x14ac:dyDescent="0.3">
      <c r="A8" s="63" t="s">
        <v>56</v>
      </c>
      <c r="B8" s="64"/>
      <c r="C8" s="64"/>
      <c r="D8" s="64"/>
      <c r="E8" s="64"/>
      <c r="F8" s="64"/>
      <c r="G8" s="64"/>
      <c r="H8" s="64"/>
      <c r="I8" s="64"/>
      <c r="J8" s="65" t="str">
        <f>VLOOKUP(D4,Wedstrijden!A6:P343,13,0)</f>
        <v>Kiki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 t="s">
        <v>57</v>
      </c>
      <c r="X8" s="64"/>
      <c r="Y8" s="64"/>
      <c r="Z8" s="66" t="str">
        <f>VLOOKUP(D4,Wedstrijden!A6:N170,14,0)</f>
        <v>Jos</v>
      </c>
      <c r="AA8" s="64"/>
      <c r="AB8" s="64"/>
      <c r="AC8" s="64"/>
      <c r="AD8" s="67"/>
      <c r="AE8" s="68"/>
      <c r="AF8" s="68"/>
      <c r="AG8" s="68"/>
      <c r="AH8" s="68"/>
      <c r="AI8" s="68"/>
      <c r="AJ8" s="69" t="s">
        <v>17</v>
      </c>
      <c r="AK8" s="64"/>
      <c r="AL8" s="64"/>
      <c r="AM8" s="64"/>
      <c r="AN8" s="64"/>
      <c r="AO8" s="68"/>
      <c r="AP8" s="64"/>
      <c r="AQ8" s="64"/>
      <c r="AR8" s="70"/>
    </row>
    <row r="9" spans="1:256" ht="14.4" thickBot="1" x14ac:dyDescent="0.35">
      <c r="A9" s="71" t="s">
        <v>58</v>
      </c>
      <c r="B9" s="72"/>
      <c r="C9" s="72"/>
      <c r="D9" s="72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 t="s">
        <v>59</v>
      </c>
      <c r="X9" s="72"/>
      <c r="Y9" s="72"/>
      <c r="Z9" s="72"/>
      <c r="AA9" s="72"/>
      <c r="AB9" s="73"/>
      <c r="AC9" s="73"/>
      <c r="AD9" s="75"/>
      <c r="AE9" s="76"/>
      <c r="AF9" s="76"/>
      <c r="AG9" s="76"/>
      <c r="AH9" s="76"/>
      <c r="AI9" s="76"/>
      <c r="AJ9" s="73"/>
      <c r="AK9" s="73"/>
      <c r="AL9" s="73"/>
      <c r="AM9" s="73"/>
      <c r="AN9" s="73"/>
      <c r="AO9" s="76"/>
      <c r="AP9" s="73"/>
      <c r="AQ9" s="73"/>
      <c r="AR9" s="77"/>
    </row>
    <row r="10" spans="1:256" ht="15" x14ac:dyDescent="0.3">
      <c r="A10" s="78" t="s">
        <v>60</v>
      </c>
      <c r="B10" s="79"/>
      <c r="C10" s="79"/>
      <c r="D10" s="79"/>
      <c r="E10" s="79"/>
      <c r="F10" s="356" t="str">
        <f>+G7</f>
        <v>De Tubanten 1</v>
      </c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7"/>
      <c r="Z10" s="362" t="s">
        <v>8</v>
      </c>
      <c r="AA10" s="363"/>
      <c r="AB10" s="363"/>
      <c r="AC10" s="363"/>
      <c r="AD10" s="364"/>
      <c r="AE10" s="80"/>
      <c r="AF10" s="80"/>
      <c r="AG10" s="80"/>
      <c r="AH10" s="80" t="s">
        <v>61</v>
      </c>
      <c r="AI10" s="80" t="s">
        <v>61</v>
      </c>
      <c r="AJ10" s="371" t="s">
        <v>14</v>
      </c>
      <c r="AK10" s="372"/>
      <c r="AL10" s="377" t="s">
        <v>62</v>
      </c>
      <c r="AM10" s="378"/>
      <c r="AN10" s="383" t="s">
        <v>15</v>
      </c>
      <c r="AO10" s="384"/>
      <c r="AP10" s="384"/>
      <c r="AQ10" s="384"/>
      <c r="AR10" s="385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2" t="s">
        <v>136</v>
      </c>
      <c r="BL10" s="82" t="str">
        <f>CONCATENATE($BL$12&amp;BK10&amp;"x")</f>
        <v>swwx</v>
      </c>
      <c r="BM10" s="82" t="str">
        <f>CONCATENATE($BM$12&amp;BK10&amp;"x")</f>
        <v>dwx</v>
      </c>
      <c r="BN10" s="82" t="str">
        <f>CONCATENATE($BN$12&amp;BK10&amp;"x")</f>
        <v>pwx</v>
      </c>
      <c r="BO10" s="82" t="str">
        <f>CONCATENATE($BO$12&amp;BK10&amp;"x")</f>
        <v>umvwx</v>
      </c>
      <c r="BP10" s="82" t="str">
        <f>CONCATENATE($BP$12&amp;BK10&amp;"x")</f>
        <v>uzvwx</v>
      </c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1" spans="1:256" x14ac:dyDescent="0.3">
      <c r="A11" s="393" t="s">
        <v>7</v>
      </c>
      <c r="B11" s="394"/>
      <c r="C11" s="394"/>
      <c r="D11" s="394"/>
      <c r="E11" s="81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  <c r="Z11" s="365"/>
      <c r="AA11" s="366"/>
      <c r="AB11" s="366"/>
      <c r="AC11" s="366"/>
      <c r="AD11" s="367"/>
      <c r="AE11" s="83" t="s">
        <v>63</v>
      </c>
      <c r="AF11" s="83"/>
      <c r="AG11" s="83"/>
      <c r="AH11" s="83" t="s">
        <v>64</v>
      </c>
      <c r="AI11" s="83" t="s">
        <v>65</v>
      </c>
      <c r="AJ11" s="373"/>
      <c r="AK11" s="374"/>
      <c r="AL11" s="379"/>
      <c r="AM11" s="380"/>
      <c r="AN11" s="386"/>
      <c r="AO11" s="387"/>
      <c r="AP11" s="387"/>
      <c r="AQ11" s="387"/>
      <c r="AR11" s="388"/>
      <c r="AS11" s="81"/>
      <c r="AT11" s="81"/>
      <c r="AU11" s="81" t="s">
        <v>17</v>
      </c>
      <c r="AV11" s="81" t="s">
        <v>18</v>
      </c>
      <c r="AW11" s="81" t="s">
        <v>77</v>
      </c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2" t="s">
        <v>142</v>
      </c>
      <c r="BL11" s="82" t="str">
        <f>CONCATENATE($BL$12&amp;BK11&amp;"x")</f>
        <v>swbx</v>
      </c>
      <c r="BM11" s="82" t="str">
        <f>CONCATENATE($BM$12&amp;BK11&amp;"x")</f>
        <v>dbx</v>
      </c>
      <c r="BN11" s="82" t="str">
        <f>CONCATENATE($BN$12&amp;BK11&amp;"x")</f>
        <v>pbx</v>
      </c>
      <c r="BO11" s="82" t="str">
        <f>CONCATENATE($BO$12&amp;BK11&amp;"x")</f>
        <v>umvbx</v>
      </c>
      <c r="BP11" s="82" t="str">
        <f>CONCATENATE($BP$12&amp;BK11&amp;"x")</f>
        <v>uzvbx</v>
      </c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</row>
    <row r="12" spans="1:256" ht="18" x14ac:dyDescent="0.35">
      <c r="A12" s="395"/>
      <c r="B12" s="396"/>
      <c r="C12" s="396"/>
      <c r="D12" s="394"/>
      <c r="E12" s="81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1"/>
      <c r="Z12" s="368"/>
      <c r="AA12" s="369"/>
      <c r="AB12" s="369"/>
      <c r="AC12" s="369"/>
      <c r="AD12" s="370"/>
      <c r="AE12" s="84" t="s">
        <v>17</v>
      </c>
      <c r="AF12" s="84" t="s">
        <v>10</v>
      </c>
      <c r="AG12" s="84" t="s">
        <v>11</v>
      </c>
      <c r="AH12" s="84" t="s">
        <v>66</v>
      </c>
      <c r="AI12" s="84" t="s">
        <v>66</v>
      </c>
      <c r="AJ12" s="375"/>
      <c r="AK12" s="376"/>
      <c r="AL12" s="381"/>
      <c r="AM12" s="382"/>
      <c r="AN12" s="389" t="s">
        <v>17</v>
      </c>
      <c r="AO12" s="369"/>
      <c r="AP12" s="85"/>
      <c r="AQ12" s="369" t="s">
        <v>18</v>
      </c>
      <c r="AR12" s="390"/>
      <c r="AS12" s="81"/>
      <c r="AT12" s="81"/>
      <c r="AU12" s="81" t="s">
        <v>78</v>
      </c>
      <c r="AV12" s="81" t="s">
        <v>79</v>
      </c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 t="s">
        <v>138</v>
      </c>
      <c r="BM12" s="81" t="s">
        <v>139</v>
      </c>
      <c r="BN12" s="81" t="s">
        <v>79</v>
      </c>
      <c r="BO12" s="81" t="s">
        <v>140</v>
      </c>
      <c r="BP12" s="81" t="s">
        <v>141</v>
      </c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</row>
    <row r="13" spans="1:256" ht="15.6" x14ac:dyDescent="0.3">
      <c r="A13" s="86" t="s">
        <v>0</v>
      </c>
      <c r="B13" s="87" t="s">
        <v>1</v>
      </c>
      <c r="C13" s="88"/>
      <c r="D13" s="89"/>
      <c r="E13" s="88" t="s">
        <v>2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90"/>
      <c r="V13" s="91" t="s">
        <v>3</v>
      </c>
      <c r="W13" s="91" t="s">
        <v>4</v>
      </c>
      <c r="X13" s="91" t="s">
        <v>5</v>
      </c>
      <c r="Y13" s="92" t="s">
        <v>6</v>
      </c>
      <c r="Z13" s="93"/>
      <c r="AA13" s="94">
        <v>0</v>
      </c>
      <c r="AB13" s="95" t="s">
        <v>16</v>
      </c>
      <c r="AC13" s="94">
        <v>2</v>
      </c>
      <c r="AD13" s="96">
        <v>8</v>
      </c>
      <c r="AE13" s="97"/>
      <c r="AF13" s="97"/>
      <c r="AG13" s="98" t="s">
        <v>265</v>
      </c>
      <c r="AH13" s="99"/>
      <c r="AI13" s="99"/>
      <c r="AJ13" s="391" t="s">
        <v>17</v>
      </c>
      <c r="AK13" s="392"/>
      <c r="AL13" s="401">
        <v>8</v>
      </c>
      <c r="AM13" s="402"/>
      <c r="AN13" s="100"/>
      <c r="AO13" s="101">
        <f>IF(BQ13="","",IF(BQ13=$BL$10,"2"+AO1,IF(BQ13=$BM$10,"1"+AO1,IF(BQ13=$BN$10,"0"+AO1,IF(BQ13=$BO$10,"0"+AO1,IF(BQ13=$BP$10,"0"+AO1,"0"+AO1))))))</f>
        <v>1</v>
      </c>
      <c r="AP13" s="95" t="s">
        <v>16</v>
      </c>
      <c r="AQ13" s="102"/>
      <c r="AR13" s="103">
        <f>IF(BQ13="","",IF(BQ13=$BL$11,"2"+AR1,IF(BQ13=$BM$11,"1"+AR1,IF(BQ13=$BN$11,"0"+AR1,IF(BQ13=$BO$11,"0"+AR1,IF(BQ13=$BP$11,"0"+AR1,"0"+AR1))))))</f>
        <v>0</v>
      </c>
      <c r="AY13" s="38" t="str">
        <f>CONCATENATE(AJ13&amp;AL13)</f>
        <v>W8</v>
      </c>
      <c r="AZ13" s="38" t="str">
        <f>IF(AE13=$AW$11,"2","0")</f>
        <v>0</v>
      </c>
      <c r="BA13" s="38" t="str">
        <f>IF(AG13=$AW$11,"1","0")</f>
        <v>1</v>
      </c>
      <c r="BB13" s="38" t="str">
        <f>IF(AF13=$AW$11,"1","0")</f>
        <v>0</v>
      </c>
      <c r="BC13" s="38">
        <f>AZ13+BA13</f>
        <v>1</v>
      </c>
      <c r="BD13" s="38">
        <f>BB13+0</f>
        <v>0</v>
      </c>
      <c r="BL13" s="38" t="str">
        <f>IF(AE13="","",CONCATENATE($BL$12&amp;AJ13&amp;AE13))</f>
        <v/>
      </c>
      <c r="BM13" s="38" t="str">
        <f>IF(AG13="","",CONCATENATE($BM$12&amp;AJ13&amp;AG13))</f>
        <v>dWX</v>
      </c>
      <c r="BN13" s="38" t="str">
        <f>IF(AF13="","",CONCATENATE($BN$12&amp;AJ13,AF13))</f>
        <v/>
      </c>
      <c r="BO13" s="38" t="str">
        <f>IF(AH13="","",CONCATENATE($BO$12&amp;AJ13&amp;AH13))</f>
        <v/>
      </c>
      <c r="BP13" s="38" t="str">
        <f>IF(AI13="","",CONCATENATE($BP$12&amp;AJ13&amp;AI13))</f>
        <v/>
      </c>
      <c r="BQ13" s="38" t="str">
        <f>CONCATENATE(BL13&amp;BM13&amp;BN13&amp;BO13&amp;BP13)</f>
        <v>dWX</v>
      </c>
    </row>
    <row r="14" spans="1:256" ht="15.6" x14ac:dyDescent="0.3">
      <c r="A14" s="104" t="s">
        <v>265</v>
      </c>
      <c r="B14" s="397">
        <f>IF(ISBLANK(HLOOKUP($F$10,spelerslijsten!$B$1:$J$22,4,FALSE)),"",HLOOKUP($F$10,spelerslijsten!$B$1:$J$22,4,FALSE))</f>
        <v>2</v>
      </c>
      <c r="C14" s="398"/>
      <c r="D14" s="105"/>
      <c r="E14" s="106" t="str">
        <f>IF(ISBLANK(HLOOKUP($F$10,spelerslijsten!$B$1:$J$22,3,FALSE)),"",HLOOKUP($F$10,spelerslijsten!$B$1:$J$22,3,FALSE))</f>
        <v>Sean Williams</v>
      </c>
      <c r="F14" s="107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8">
        <f t="shared" ref="V14:V20" si="0">SUMIF($AY$13:$AY$46,AT14,$BC$13:$BC$46)</f>
        <v>0</v>
      </c>
      <c r="W14" s="109" t="str">
        <f>IF(AU14&gt;0,"x","")</f>
        <v/>
      </c>
      <c r="X14" s="110" t="str">
        <f>IF(AU14&gt;1,"x","")</f>
        <v/>
      </c>
      <c r="Y14" s="103" t="str">
        <f>IF(AU14&gt;2,"x","")</f>
        <v/>
      </c>
      <c r="Z14" s="111"/>
      <c r="AA14" s="112">
        <v>1</v>
      </c>
      <c r="AB14" s="113" t="str">
        <f>+AB13</f>
        <v>-</v>
      </c>
      <c r="AC14" s="112">
        <v>2</v>
      </c>
      <c r="AD14" s="114">
        <v>8</v>
      </c>
      <c r="AE14" s="115"/>
      <c r="AF14" s="115"/>
      <c r="AG14" s="116" t="s">
        <v>265</v>
      </c>
      <c r="AH14" s="117"/>
      <c r="AI14" s="117"/>
      <c r="AJ14" s="342" t="s">
        <v>17</v>
      </c>
      <c r="AK14" s="343"/>
      <c r="AL14" s="346">
        <v>7</v>
      </c>
      <c r="AM14" s="347"/>
      <c r="AN14" s="118"/>
      <c r="AO14" s="101">
        <f>IF(BQ14="","",IF(BQ14=$BL$10,"2"+AO13,IF(BQ14=$BM$10,"1"+AO13,IF(BQ14=$BN$10,"0"+AO13,IF(BQ14=$BO$10,"0"+AO13,IF(BQ14=$BP$10,"0"+AO13,"0"+AO13))))))</f>
        <v>2</v>
      </c>
      <c r="AP14" s="113" t="str">
        <f>+AP13</f>
        <v>-</v>
      </c>
      <c r="AQ14" s="119"/>
      <c r="AR14" s="103">
        <f>IF(BQ14="","",IF(BQ14=$BL$11,"2"+AR13,IF(BQ14=$BM$11,"1"+AR13,IF(BQ14=$BN$11,"0"+AR13,IF(BQ14=$BO$11,"0"+AR13,IF(BQ14=$BP$11,"0"+AR13,"0"+AR13))))))</f>
        <v>0</v>
      </c>
      <c r="AT14" s="38" t="str">
        <f>CONCATENATE($AU$11&amp;B14)</f>
        <v>W2</v>
      </c>
      <c r="AU14" s="38">
        <f>SUMIF($AY$13:$AY$46,AT14,$BD$13:$BD$46)</f>
        <v>0</v>
      </c>
      <c r="AY14" s="38" t="str">
        <f t="shared" ref="AY14:AY46" si="1">CONCATENATE(AJ14&amp;AL14)</f>
        <v>W7</v>
      </c>
      <c r="AZ14" s="38" t="str">
        <f t="shared" ref="AZ14:AZ46" si="2">IF(AE14=$AW$11,"2","0")</f>
        <v>0</v>
      </c>
      <c r="BA14" s="38" t="str">
        <f t="shared" ref="BA14:BA46" si="3">IF(AG14=$AW$11,"1","0")</f>
        <v>1</v>
      </c>
      <c r="BB14" s="38" t="str">
        <f t="shared" ref="BB14:BB46" si="4">IF(AF14=$AW$11,"1","0")</f>
        <v>0</v>
      </c>
      <c r="BC14" s="38">
        <f t="shared" ref="BC14:BC46" si="5">AZ14+BA14</f>
        <v>1</v>
      </c>
      <c r="BD14" s="38">
        <f t="shared" ref="BD14:BD46" si="6">BB14+0</f>
        <v>0</v>
      </c>
      <c r="BL14" s="38" t="str">
        <f t="shared" ref="BL14:BL46" si="7">IF(AE14="","",CONCATENATE($BL$12&amp;AJ14&amp;AE14))</f>
        <v/>
      </c>
      <c r="BM14" s="38" t="str">
        <f t="shared" ref="BM14:BM46" si="8">IF(AG14="","",CONCATENATE($BM$12&amp;AJ14&amp;AG14))</f>
        <v>dWX</v>
      </c>
      <c r="BN14" s="38" t="str">
        <f t="shared" ref="BN14:BN46" si="9">IF(AF14="","",CONCATENATE($BN$12&amp;AJ14,AF14))</f>
        <v/>
      </c>
      <c r="BO14" s="38" t="str">
        <f t="shared" ref="BO14:BO46" si="10">IF(AH14="","",CONCATENATE($BO$12&amp;AJ14&amp;AH14))</f>
        <v/>
      </c>
      <c r="BP14" s="38" t="str">
        <f t="shared" ref="BP14:BP46" si="11">IF(AI14="","",CONCATENATE($BP$12&amp;AJ14&amp;AI14))</f>
        <v/>
      </c>
      <c r="BQ14" s="38" t="str">
        <f t="shared" ref="BQ14:BQ46" si="12">CONCATENATE(BL14&amp;BM14&amp;BN14&amp;BO14&amp;BP14)</f>
        <v>dWX</v>
      </c>
    </row>
    <row r="15" spans="1:256" ht="15.6" x14ac:dyDescent="0.3">
      <c r="A15" s="120" t="s">
        <v>265</v>
      </c>
      <c r="B15" s="397">
        <f>IF(ISBLANK(HLOOKUP($F$10,spelerslijsten!$B$1:$J$22,6,FALSE)),"",HLOOKUP($F$10,spelerslijsten!$B$1:$J$22,6,FALSE))</f>
        <v>3</v>
      </c>
      <c r="C15" s="398"/>
      <c r="D15" s="121"/>
      <c r="E15" s="122" t="str">
        <f>IF(ISBLANK(HLOOKUP($F$10,spelerslijsten!$B$1:$J$22,5,FALSE)),"",HLOOKUP($F$10,spelerslijsten!$B$1:$J$22,5,FALSE))</f>
        <v>Liam Williams</v>
      </c>
      <c r="F15" s="123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08">
        <f t="shared" si="0"/>
        <v>1</v>
      </c>
      <c r="W15" s="109" t="str">
        <f t="shared" ref="W15:W23" si="13">IF(AU15&gt;0,"x","")</f>
        <v/>
      </c>
      <c r="X15" s="110" t="str">
        <f t="shared" ref="X15:X23" si="14">IF(AU15&gt;1,"x","")</f>
        <v/>
      </c>
      <c r="Y15" s="103" t="str">
        <f t="shared" ref="Y15:Y23" si="15">IF(AU15&gt;2,"x","")</f>
        <v/>
      </c>
      <c r="Z15" s="111"/>
      <c r="AA15" s="112">
        <v>2</v>
      </c>
      <c r="AB15" s="113" t="str">
        <f t="shared" ref="AB15:AB44" si="16">+AB14</f>
        <v>-</v>
      </c>
      <c r="AC15" s="112">
        <v>1</v>
      </c>
      <c r="AD15" s="114">
        <v>8</v>
      </c>
      <c r="AE15" s="115"/>
      <c r="AF15" s="115"/>
      <c r="AG15" s="116" t="s">
        <v>265</v>
      </c>
      <c r="AH15" s="117"/>
      <c r="AI15" s="117"/>
      <c r="AJ15" s="342" t="s">
        <v>17</v>
      </c>
      <c r="AK15" s="343"/>
      <c r="AL15" s="346">
        <v>6</v>
      </c>
      <c r="AM15" s="347"/>
      <c r="AN15" s="118"/>
      <c r="AO15" s="101">
        <f>IF(BQ15="","",IF(BQ15=$BL$10,"2"+AO14,IF(BQ15=$BM$10,"1"+AO14,IF(BQ15=$BN$10,"0"+AO14,IF(BQ15=$BO$10,"0"+AO14,IF(BQ15=$BP$10,"0"+AO14,"0"+AO14))))))</f>
        <v>3</v>
      </c>
      <c r="AP15" s="113" t="str">
        <f>+AP14</f>
        <v>-</v>
      </c>
      <c r="AQ15" s="119"/>
      <c r="AR15" s="103">
        <f>IF(BQ15="","",IF(BQ15=$BL$11,"2"+AR14,IF(BQ15=$BM$11,"1"+AR14,IF(BQ15=$BN$11,"0"+AR14,IF(BQ15=$BO$11,"0"+AR14,IF(BQ15=$BP$11,"0"+AR14,"0"+AR14))))))</f>
        <v>0</v>
      </c>
      <c r="AT15" s="38" t="str">
        <f t="shared" ref="AT15:AT23" si="17">CONCATENATE($AU$11&amp;B15)</f>
        <v>W3</v>
      </c>
      <c r="AU15" s="38">
        <f t="shared" ref="AU15:AU39" si="18">SUMIF($AY$13:$AY$46,AT15,$BD$13:$BD$46)</f>
        <v>0</v>
      </c>
      <c r="AY15" s="38" t="str">
        <f t="shared" si="1"/>
        <v>W6</v>
      </c>
      <c r="AZ15" s="38" t="str">
        <f t="shared" si="2"/>
        <v>0</v>
      </c>
      <c r="BA15" s="38" t="str">
        <f t="shared" si="3"/>
        <v>1</v>
      </c>
      <c r="BB15" s="38" t="str">
        <f t="shared" si="4"/>
        <v>0</v>
      </c>
      <c r="BC15" s="38">
        <f t="shared" si="5"/>
        <v>1</v>
      </c>
      <c r="BD15" s="38">
        <f t="shared" si="6"/>
        <v>0</v>
      </c>
      <c r="BL15" s="38" t="str">
        <f t="shared" si="7"/>
        <v/>
      </c>
      <c r="BM15" s="38" t="str">
        <f t="shared" si="8"/>
        <v>dWX</v>
      </c>
      <c r="BN15" s="38" t="str">
        <f t="shared" si="9"/>
        <v/>
      </c>
      <c r="BO15" s="38" t="str">
        <f t="shared" si="10"/>
        <v/>
      </c>
      <c r="BP15" s="38" t="str">
        <f t="shared" si="11"/>
        <v/>
      </c>
      <c r="BQ15" s="38" t="str">
        <f t="shared" si="12"/>
        <v>dWX</v>
      </c>
    </row>
    <row r="16" spans="1:256" ht="15.6" x14ac:dyDescent="0.3">
      <c r="A16" s="124"/>
      <c r="B16" s="397">
        <f>IF(ISBLANK(HLOOKUP($F$10,spelerslijsten!$B$1:$J$22,8,FALSE)),"",HLOOKUP($F$10,spelerslijsten!$B$1:$J$22,8,FALSE))</f>
        <v>4</v>
      </c>
      <c r="C16" s="398"/>
      <c r="D16" s="121"/>
      <c r="E16" s="122" t="str">
        <f>IF(ISBLANK(HLOOKUP($F$10,spelerslijsten!$B$1:$J$22,7,FALSE)),"",HLOOKUP($F$10,spelerslijsten!$B$1:$J$22,7,FALSE))</f>
        <v>Andre Buitink</v>
      </c>
      <c r="F16" s="12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08">
        <f t="shared" si="0"/>
        <v>0</v>
      </c>
      <c r="W16" s="109" t="str">
        <f t="shared" si="13"/>
        <v/>
      </c>
      <c r="X16" s="110" t="str">
        <f t="shared" si="14"/>
        <v/>
      </c>
      <c r="Y16" s="103" t="str">
        <f t="shared" si="15"/>
        <v/>
      </c>
      <c r="Z16" s="111"/>
      <c r="AA16" s="112">
        <v>2</v>
      </c>
      <c r="AB16" s="113" t="str">
        <f t="shared" si="16"/>
        <v>-</v>
      </c>
      <c r="AC16" s="112">
        <v>4</v>
      </c>
      <c r="AD16" s="114">
        <v>7</v>
      </c>
      <c r="AE16" s="115"/>
      <c r="AF16" s="115"/>
      <c r="AG16" s="116" t="s">
        <v>265</v>
      </c>
      <c r="AH16" s="117"/>
      <c r="AI16" s="117"/>
      <c r="AJ16" s="342" t="s">
        <v>18</v>
      </c>
      <c r="AK16" s="343"/>
      <c r="AL16" s="346">
        <v>9</v>
      </c>
      <c r="AM16" s="347"/>
      <c r="AN16" s="118"/>
      <c r="AO16" s="101">
        <f t="shared" ref="AO16:AO46" si="19">IF(BQ16="","",IF(BQ16=$BL$10,"2"+AO15,IF(BQ16=$BM$10,"1"+AO15,IF(BQ16=$BN$10,"0"+AO15,IF(BQ16=$BO$10,"0"+AO15,IF(BQ16=$BP$10,"0"+AO15,"0"+AO15))))))</f>
        <v>3</v>
      </c>
      <c r="AP16" s="113" t="str">
        <f t="shared" ref="AP16:AP46" si="20">+AP15</f>
        <v>-</v>
      </c>
      <c r="AQ16" s="119"/>
      <c r="AR16" s="103">
        <f t="shared" ref="AR16:AR46" si="21">IF(BQ16="","",IF(BQ16=$BL$11,"2"+AR15,IF(BQ16=$BM$11,"1"+AR15,IF(BQ16=$BN$11,"0"+AR15,IF(BQ16=$BO$11,"0"+AR15,IF(BQ16=$BP$11,"0"+AR15,"0"+AR15))))))</f>
        <v>1</v>
      </c>
      <c r="AT16" s="38" t="str">
        <f t="shared" si="17"/>
        <v>W4</v>
      </c>
      <c r="AU16" s="38">
        <f t="shared" si="18"/>
        <v>0</v>
      </c>
      <c r="AY16" s="38" t="str">
        <f t="shared" si="1"/>
        <v>B9</v>
      </c>
      <c r="AZ16" s="38" t="str">
        <f t="shared" si="2"/>
        <v>0</v>
      </c>
      <c r="BA16" s="38" t="str">
        <f t="shared" si="3"/>
        <v>1</v>
      </c>
      <c r="BB16" s="38" t="str">
        <f t="shared" si="4"/>
        <v>0</v>
      </c>
      <c r="BC16" s="38">
        <f t="shared" si="5"/>
        <v>1</v>
      </c>
      <c r="BD16" s="38">
        <f t="shared" si="6"/>
        <v>0</v>
      </c>
      <c r="BL16" s="38" t="str">
        <f t="shared" si="7"/>
        <v/>
      </c>
      <c r="BM16" s="38" t="str">
        <f t="shared" si="8"/>
        <v>dBX</v>
      </c>
      <c r="BN16" s="38" t="str">
        <f t="shared" si="9"/>
        <v/>
      </c>
      <c r="BO16" s="38" t="str">
        <f t="shared" si="10"/>
        <v/>
      </c>
      <c r="BP16" s="38" t="str">
        <f t="shared" si="11"/>
        <v/>
      </c>
      <c r="BQ16" s="38" t="str">
        <f t="shared" si="12"/>
        <v>dBX</v>
      </c>
    </row>
    <row r="17" spans="1:69" ht="15.6" x14ac:dyDescent="0.3">
      <c r="A17" s="124" t="s">
        <v>265</v>
      </c>
      <c r="B17" s="397">
        <f>IF(ISBLANK(HLOOKUP($F$10,spelerslijsten!$B$1:$J$22,10,FALSE)),"",HLOOKUP($F$10,spelerslijsten!$B$1:$J$22,10,FALSE))</f>
        <v>5</v>
      </c>
      <c r="C17" s="398"/>
      <c r="D17" s="121"/>
      <c r="E17" s="122" t="str">
        <f>IF(ISBLANK(HLOOKUP($F$10,spelerslijsten!$B$1:$J$22,9,FALSE)),"",HLOOKUP($F$10,spelerslijsten!$B$1:$J$22,9,FALSE))</f>
        <v>Marco Ensink</v>
      </c>
      <c r="F17" s="12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08">
        <f t="shared" si="0"/>
        <v>0</v>
      </c>
      <c r="W17" s="109" t="str">
        <f t="shared" si="13"/>
        <v/>
      </c>
      <c r="X17" s="110" t="str">
        <f t="shared" si="14"/>
        <v/>
      </c>
      <c r="Y17" s="103" t="str">
        <f t="shared" si="15"/>
        <v/>
      </c>
      <c r="Z17" s="111"/>
      <c r="AA17" s="112">
        <v>3</v>
      </c>
      <c r="AB17" s="113" t="str">
        <f t="shared" si="16"/>
        <v>-</v>
      </c>
      <c r="AC17" s="112">
        <v>1</v>
      </c>
      <c r="AD17" s="114">
        <v>7</v>
      </c>
      <c r="AE17" s="115"/>
      <c r="AF17" s="115"/>
      <c r="AG17" s="116" t="s">
        <v>265</v>
      </c>
      <c r="AH17" s="117"/>
      <c r="AI17" s="117"/>
      <c r="AJ17" s="342" t="s">
        <v>17</v>
      </c>
      <c r="AK17" s="343"/>
      <c r="AL17" s="346">
        <v>8</v>
      </c>
      <c r="AM17" s="347"/>
      <c r="AN17" s="118"/>
      <c r="AO17" s="101">
        <f t="shared" si="19"/>
        <v>4</v>
      </c>
      <c r="AP17" s="113" t="str">
        <f t="shared" si="20"/>
        <v>-</v>
      </c>
      <c r="AQ17" s="119"/>
      <c r="AR17" s="103">
        <f t="shared" si="21"/>
        <v>1</v>
      </c>
      <c r="AT17" s="38" t="str">
        <f t="shared" si="17"/>
        <v>W5</v>
      </c>
      <c r="AU17" s="38">
        <f t="shared" si="18"/>
        <v>0</v>
      </c>
      <c r="AY17" s="38" t="str">
        <f t="shared" si="1"/>
        <v>W8</v>
      </c>
      <c r="AZ17" s="38" t="str">
        <f t="shared" si="2"/>
        <v>0</v>
      </c>
      <c r="BA17" s="38" t="str">
        <f t="shared" si="3"/>
        <v>1</v>
      </c>
      <c r="BB17" s="38" t="str">
        <f t="shared" si="4"/>
        <v>0</v>
      </c>
      <c r="BC17" s="38">
        <f t="shared" si="5"/>
        <v>1</v>
      </c>
      <c r="BD17" s="38">
        <f t="shared" si="6"/>
        <v>0</v>
      </c>
      <c r="BL17" s="38" t="str">
        <f t="shared" si="7"/>
        <v/>
      </c>
      <c r="BM17" s="38" t="str">
        <f t="shared" si="8"/>
        <v>dWX</v>
      </c>
      <c r="BN17" s="38" t="str">
        <f t="shared" si="9"/>
        <v/>
      </c>
      <c r="BO17" s="38" t="str">
        <f t="shared" si="10"/>
        <v/>
      </c>
      <c r="BP17" s="38" t="str">
        <f t="shared" si="11"/>
        <v/>
      </c>
      <c r="BQ17" s="38" t="str">
        <f t="shared" si="12"/>
        <v>dWX</v>
      </c>
    </row>
    <row r="18" spans="1:69" ht="15.6" x14ac:dyDescent="0.3">
      <c r="A18" s="124" t="s">
        <v>265</v>
      </c>
      <c r="B18" s="397">
        <f>IF(ISBLANK(HLOOKUP($F$10,spelerslijsten!$B$1:$J$22,12,FALSE)),"",HLOOKUP($F$10,spelerslijsten!$B$1:$J$22,12,FALSE))</f>
        <v>6</v>
      </c>
      <c r="C18" s="398"/>
      <c r="D18" s="121"/>
      <c r="E18" s="122" t="str">
        <f>IF(ISBLANK(HLOOKUP($F$10,spelerslijsten!$B$1:$J$22,11,FALSE)),"",HLOOKUP($F$10,spelerslijsten!$B$1:$J$22,11,FALSE))</f>
        <v>Precilla Beune</v>
      </c>
      <c r="F18" s="12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08">
        <f t="shared" si="0"/>
        <v>2</v>
      </c>
      <c r="W18" s="109" t="str">
        <f t="shared" si="13"/>
        <v/>
      </c>
      <c r="X18" s="110" t="str">
        <f t="shared" si="14"/>
        <v/>
      </c>
      <c r="Y18" s="103" t="str">
        <f t="shared" si="15"/>
        <v/>
      </c>
      <c r="Z18" s="111"/>
      <c r="AA18" s="112">
        <v>3</v>
      </c>
      <c r="AB18" s="113" t="s">
        <v>16</v>
      </c>
      <c r="AC18" s="112">
        <v>5</v>
      </c>
      <c r="AD18" s="114">
        <v>8</v>
      </c>
      <c r="AE18" s="115"/>
      <c r="AF18" s="115"/>
      <c r="AG18" s="116" t="s">
        <v>265</v>
      </c>
      <c r="AH18" s="117"/>
      <c r="AI18" s="117"/>
      <c r="AJ18" s="342" t="s">
        <v>17</v>
      </c>
      <c r="AK18" s="343"/>
      <c r="AL18" s="346">
        <v>7</v>
      </c>
      <c r="AM18" s="347"/>
      <c r="AN18" s="118"/>
      <c r="AO18" s="101">
        <f t="shared" si="19"/>
        <v>5</v>
      </c>
      <c r="AP18" s="113" t="str">
        <f t="shared" si="20"/>
        <v>-</v>
      </c>
      <c r="AQ18" s="119"/>
      <c r="AR18" s="103">
        <f t="shared" si="21"/>
        <v>1</v>
      </c>
      <c r="AT18" s="38" t="str">
        <f t="shared" si="17"/>
        <v>W6</v>
      </c>
      <c r="AU18" s="38">
        <f t="shared" si="18"/>
        <v>0</v>
      </c>
      <c r="AY18" s="38" t="str">
        <f t="shared" si="1"/>
        <v>W7</v>
      </c>
      <c r="AZ18" s="38" t="str">
        <f t="shared" si="2"/>
        <v>0</v>
      </c>
      <c r="BA18" s="38" t="str">
        <f t="shared" si="3"/>
        <v>1</v>
      </c>
      <c r="BB18" s="38" t="str">
        <f t="shared" si="4"/>
        <v>0</v>
      </c>
      <c r="BC18" s="38">
        <f t="shared" si="5"/>
        <v>1</v>
      </c>
      <c r="BD18" s="38">
        <f t="shared" si="6"/>
        <v>0</v>
      </c>
      <c r="BL18" s="38" t="str">
        <f t="shared" si="7"/>
        <v/>
      </c>
      <c r="BM18" s="38" t="str">
        <f t="shared" si="8"/>
        <v>dWX</v>
      </c>
      <c r="BN18" s="38" t="str">
        <f t="shared" si="9"/>
        <v/>
      </c>
      <c r="BO18" s="38" t="str">
        <f t="shared" si="10"/>
        <v/>
      </c>
      <c r="BP18" s="38" t="str">
        <f t="shared" si="11"/>
        <v/>
      </c>
      <c r="BQ18" s="38" t="str">
        <f t="shared" si="12"/>
        <v>dWX</v>
      </c>
    </row>
    <row r="19" spans="1:69" ht="15.6" x14ac:dyDescent="0.3">
      <c r="A19" s="124" t="s">
        <v>265</v>
      </c>
      <c r="B19" s="397">
        <f>IF(ISBLANK(HLOOKUP($F$10,spelerslijsten!$B$1:$J$22,14,FALSE)),"",HLOOKUP($F$10,spelerslijsten!$B$1:$J$22,14,FALSE))</f>
        <v>7</v>
      </c>
      <c r="C19" s="398"/>
      <c r="D19" s="121"/>
      <c r="E19" s="122" t="str">
        <f>IF(ISBLANK(HLOOKUP($F$10,spelerslijsten!$B$1:$J$22,13,FALSE)),"",HLOOKUP($F$10,spelerslijsten!$B$1:$J$22,13,FALSE))</f>
        <v>Timo Hazelhoff</v>
      </c>
      <c r="F19" s="12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08">
        <f t="shared" si="0"/>
        <v>3</v>
      </c>
      <c r="W19" s="109" t="str">
        <f t="shared" si="13"/>
        <v/>
      </c>
      <c r="X19" s="110" t="str">
        <f t="shared" si="14"/>
        <v/>
      </c>
      <c r="Y19" s="103" t="str">
        <f t="shared" si="15"/>
        <v/>
      </c>
      <c r="Z19" s="111"/>
      <c r="AA19" s="112">
        <v>4</v>
      </c>
      <c r="AB19" s="113" t="str">
        <f t="shared" si="16"/>
        <v>-</v>
      </c>
      <c r="AC19" s="112">
        <v>3</v>
      </c>
      <c r="AD19" s="114">
        <v>2</v>
      </c>
      <c r="AE19" s="115"/>
      <c r="AF19" s="115"/>
      <c r="AG19" s="116" t="s">
        <v>265</v>
      </c>
      <c r="AH19" s="117"/>
      <c r="AI19" s="117"/>
      <c r="AJ19" s="342" t="s">
        <v>17</v>
      </c>
      <c r="AK19" s="343"/>
      <c r="AL19" s="346">
        <v>8</v>
      </c>
      <c r="AM19" s="347"/>
      <c r="AN19" s="118"/>
      <c r="AO19" s="101">
        <f t="shared" si="19"/>
        <v>6</v>
      </c>
      <c r="AP19" s="113" t="str">
        <f t="shared" si="20"/>
        <v>-</v>
      </c>
      <c r="AQ19" s="119"/>
      <c r="AR19" s="103">
        <f t="shared" si="21"/>
        <v>1</v>
      </c>
      <c r="AT19" s="38" t="str">
        <f t="shared" si="17"/>
        <v>W7</v>
      </c>
      <c r="AU19" s="38">
        <f t="shared" si="18"/>
        <v>0</v>
      </c>
      <c r="AY19" s="38" t="str">
        <f t="shared" si="1"/>
        <v>W8</v>
      </c>
      <c r="AZ19" s="38" t="str">
        <f t="shared" si="2"/>
        <v>0</v>
      </c>
      <c r="BA19" s="38" t="str">
        <f t="shared" si="3"/>
        <v>1</v>
      </c>
      <c r="BB19" s="38" t="str">
        <f t="shared" si="4"/>
        <v>0</v>
      </c>
      <c r="BC19" s="38">
        <f t="shared" si="5"/>
        <v>1</v>
      </c>
      <c r="BD19" s="38">
        <f t="shared" si="6"/>
        <v>0</v>
      </c>
      <c r="BL19" s="38" t="str">
        <f t="shared" si="7"/>
        <v/>
      </c>
      <c r="BM19" s="38" t="str">
        <f t="shared" si="8"/>
        <v>dWX</v>
      </c>
      <c r="BN19" s="38" t="str">
        <f t="shared" si="9"/>
        <v/>
      </c>
      <c r="BO19" s="38" t="str">
        <f t="shared" si="10"/>
        <v/>
      </c>
      <c r="BP19" s="38" t="str">
        <f t="shared" si="11"/>
        <v/>
      </c>
      <c r="BQ19" s="38" t="str">
        <f t="shared" si="12"/>
        <v>dWX</v>
      </c>
    </row>
    <row r="20" spans="1:69" ht="15.6" x14ac:dyDescent="0.3">
      <c r="A20" s="124" t="s">
        <v>265</v>
      </c>
      <c r="B20" s="397">
        <f>IF(ISBLANK(HLOOKUP($F$10,spelerslijsten!$B$1:$J$22,16,FALSE)),"",HLOOKUP($F$10,spelerslijsten!$B$1:$J$22,16,FALSE))</f>
        <v>8</v>
      </c>
      <c r="C20" s="398"/>
      <c r="D20" s="121"/>
      <c r="E20" s="122" t="str">
        <f>IF(ISBLANK(HLOOKUP($F$10,spelerslijsten!$B$1:$J$22,15,FALSE)),"",HLOOKUP($F$10,spelerslijsten!$B$1:$J$22,15,FALSE))</f>
        <v>Mike Regtop</v>
      </c>
      <c r="F20" s="12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08">
        <f t="shared" si="0"/>
        <v>5</v>
      </c>
      <c r="W20" s="109" t="str">
        <f t="shared" si="13"/>
        <v/>
      </c>
      <c r="X20" s="110" t="str">
        <f t="shared" si="14"/>
        <v/>
      </c>
      <c r="Y20" s="103" t="str">
        <f t="shared" si="15"/>
        <v/>
      </c>
      <c r="Z20" s="111"/>
      <c r="AA20" s="112">
        <v>5</v>
      </c>
      <c r="AB20" s="113" t="str">
        <f t="shared" si="16"/>
        <v>-</v>
      </c>
      <c r="AC20" s="112">
        <v>5</v>
      </c>
      <c r="AD20" s="114">
        <v>7</v>
      </c>
      <c r="AE20" s="115"/>
      <c r="AF20" s="115"/>
      <c r="AG20" s="116" t="s">
        <v>265</v>
      </c>
      <c r="AH20" s="117"/>
      <c r="AI20" s="117"/>
      <c r="AJ20" s="342" t="s">
        <v>17</v>
      </c>
      <c r="AK20" s="343"/>
      <c r="AL20" s="346">
        <v>7</v>
      </c>
      <c r="AM20" s="347"/>
      <c r="AN20" s="118"/>
      <c r="AO20" s="101">
        <f t="shared" si="19"/>
        <v>7</v>
      </c>
      <c r="AP20" s="113" t="str">
        <f t="shared" si="20"/>
        <v>-</v>
      </c>
      <c r="AQ20" s="119"/>
      <c r="AR20" s="103">
        <f t="shared" si="21"/>
        <v>1</v>
      </c>
      <c r="AT20" s="38" t="str">
        <f t="shared" si="17"/>
        <v>W8</v>
      </c>
      <c r="AU20" s="38">
        <f t="shared" si="18"/>
        <v>0</v>
      </c>
      <c r="AY20" s="38" t="str">
        <f t="shared" si="1"/>
        <v>W7</v>
      </c>
      <c r="AZ20" s="38" t="str">
        <f t="shared" si="2"/>
        <v>0</v>
      </c>
      <c r="BA20" s="38" t="str">
        <f t="shared" si="3"/>
        <v>1</v>
      </c>
      <c r="BB20" s="38" t="str">
        <f t="shared" si="4"/>
        <v>0</v>
      </c>
      <c r="BC20" s="38">
        <f t="shared" si="5"/>
        <v>1</v>
      </c>
      <c r="BD20" s="38">
        <f t="shared" si="6"/>
        <v>0</v>
      </c>
      <c r="BL20" s="38" t="str">
        <f t="shared" si="7"/>
        <v/>
      </c>
      <c r="BM20" s="38" t="str">
        <f t="shared" si="8"/>
        <v>dWX</v>
      </c>
      <c r="BN20" s="38" t="str">
        <f t="shared" si="9"/>
        <v/>
      </c>
      <c r="BO20" s="38" t="str">
        <f t="shared" si="10"/>
        <v/>
      </c>
      <c r="BP20" s="38" t="str">
        <f t="shared" si="11"/>
        <v/>
      </c>
      <c r="BQ20" s="38" t="str">
        <f t="shared" si="12"/>
        <v>dWX</v>
      </c>
    </row>
    <row r="21" spans="1:69" ht="15.6" x14ac:dyDescent="0.3">
      <c r="A21" s="124"/>
      <c r="B21" s="397" t="str">
        <f>IF(ISBLANK(HLOOKUP($F$10,spelerslijsten!$B$1:$J$22,18,FALSE)),"",HLOOKUP($F$10,spelerslijsten!$B$1:$J$22,18,FALSE))</f>
        <v/>
      </c>
      <c r="C21" s="398"/>
      <c r="D21" s="121"/>
      <c r="E21" s="122" t="str">
        <f>IF(ISBLANK(HLOOKUP($F$10,spelerslijsten!$B$1:$J$22,17,FALSE)),"",HLOOKUP($F$10,spelerslijsten!$B$1:$J$22,17,FALSE))</f>
        <v/>
      </c>
      <c r="F21" s="12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08">
        <f>SUMIF($AY$13:$AY$46,AT21,$BC$13:$BC$46)</f>
        <v>0</v>
      </c>
      <c r="W21" s="109" t="str">
        <f t="shared" si="13"/>
        <v/>
      </c>
      <c r="X21" s="110" t="str">
        <f t="shared" si="14"/>
        <v/>
      </c>
      <c r="Y21" s="103" t="str">
        <f t="shared" si="15"/>
        <v/>
      </c>
      <c r="Z21" s="111"/>
      <c r="AA21" s="112">
        <v>6</v>
      </c>
      <c r="AB21" s="113" t="str">
        <f t="shared" si="16"/>
        <v>-</v>
      </c>
      <c r="AC21" s="112">
        <v>5</v>
      </c>
      <c r="AD21" s="114">
        <v>5</v>
      </c>
      <c r="AE21" s="115"/>
      <c r="AF21" s="115"/>
      <c r="AG21" s="116" t="s">
        <v>265</v>
      </c>
      <c r="AH21" s="117"/>
      <c r="AI21" s="117"/>
      <c r="AJ21" s="342" t="s">
        <v>18</v>
      </c>
      <c r="AK21" s="343"/>
      <c r="AL21" s="346">
        <v>9</v>
      </c>
      <c r="AM21" s="347"/>
      <c r="AN21" s="118"/>
      <c r="AO21" s="101">
        <f t="shared" si="19"/>
        <v>7</v>
      </c>
      <c r="AP21" s="113" t="str">
        <f t="shared" si="20"/>
        <v>-</v>
      </c>
      <c r="AQ21" s="119"/>
      <c r="AR21" s="103">
        <f t="shared" si="21"/>
        <v>2</v>
      </c>
      <c r="AT21" s="38" t="str">
        <f t="shared" si="17"/>
        <v>W</v>
      </c>
      <c r="AU21" s="38">
        <f t="shared" si="18"/>
        <v>0</v>
      </c>
      <c r="AY21" s="38" t="str">
        <f t="shared" si="1"/>
        <v>B9</v>
      </c>
      <c r="AZ21" s="38" t="str">
        <f t="shared" si="2"/>
        <v>0</v>
      </c>
      <c r="BA21" s="38" t="str">
        <f t="shared" si="3"/>
        <v>1</v>
      </c>
      <c r="BB21" s="38" t="str">
        <f t="shared" si="4"/>
        <v>0</v>
      </c>
      <c r="BC21" s="38">
        <f t="shared" si="5"/>
        <v>1</v>
      </c>
      <c r="BD21" s="38">
        <f t="shared" si="6"/>
        <v>0</v>
      </c>
      <c r="BL21" s="38" t="str">
        <f t="shared" si="7"/>
        <v/>
      </c>
      <c r="BM21" s="38" t="str">
        <f t="shared" si="8"/>
        <v>dBX</v>
      </c>
      <c r="BN21" s="38" t="str">
        <f t="shared" si="9"/>
        <v/>
      </c>
      <c r="BO21" s="38" t="str">
        <f t="shared" si="10"/>
        <v/>
      </c>
      <c r="BP21" s="38" t="str">
        <f t="shared" si="11"/>
        <v/>
      </c>
      <c r="BQ21" s="38" t="str">
        <f t="shared" si="12"/>
        <v>dBX</v>
      </c>
    </row>
    <row r="22" spans="1:69" ht="15.6" x14ac:dyDescent="0.3">
      <c r="A22" s="124"/>
      <c r="B22" s="397" t="str">
        <f>IF(ISBLANK(HLOOKUP($F$10,spelerslijsten!$B$1:$J$22,20,FALSE)),"",HLOOKUP($F$10,spelerslijsten!$B$1:$J$22,20,FALSE))</f>
        <v/>
      </c>
      <c r="C22" s="398"/>
      <c r="D22" s="121"/>
      <c r="E22" s="122" t="str">
        <f>IF(ISBLANK(HLOOKUP($F$10,spelerslijsten!$B$1:$J$22,19,FALSE)),"",HLOOKUP($F$10,spelerslijsten!$B$1:$J$22,19,FALSE))</f>
        <v/>
      </c>
      <c r="F22" s="12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08">
        <f t="shared" ref="V22:V23" si="22">SUMIF($AY$13:$AY$46,AT22,$BC$13:$BC$46)</f>
        <v>0</v>
      </c>
      <c r="W22" s="109" t="str">
        <f t="shared" si="13"/>
        <v/>
      </c>
      <c r="X22" s="110" t="str">
        <f t="shared" si="14"/>
        <v/>
      </c>
      <c r="Y22" s="103" t="str">
        <f t="shared" si="15"/>
        <v/>
      </c>
      <c r="Z22" s="111"/>
      <c r="AA22" s="112">
        <v>7</v>
      </c>
      <c r="AB22" s="113" t="str">
        <f t="shared" si="16"/>
        <v>-</v>
      </c>
      <c r="AC22" s="112">
        <v>3</v>
      </c>
      <c r="AD22" s="114">
        <v>5</v>
      </c>
      <c r="AE22" s="115"/>
      <c r="AF22" s="115"/>
      <c r="AG22" s="116" t="s">
        <v>265</v>
      </c>
      <c r="AH22" s="117"/>
      <c r="AI22" s="117"/>
      <c r="AJ22" s="342" t="s">
        <v>18</v>
      </c>
      <c r="AK22" s="343"/>
      <c r="AL22" s="346">
        <v>9</v>
      </c>
      <c r="AM22" s="347"/>
      <c r="AN22" s="118"/>
      <c r="AO22" s="101">
        <f t="shared" si="19"/>
        <v>7</v>
      </c>
      <c r="AP22" s="113" t="str">
        <f t="shared" si="20"/>
        <v>-</v>
      </c>
      <c r="AQ22" s="119"/>
      <c r="AR22" s="103">
        <f t="shared" si="21"/>
        <v>3</v>
      </c>
      <c r="AT22" s="38" t="str">
        <f t="shared" si="17"/>
        <v>W</v>
      </c>
      <c r="AU22" s="38">
        <f t="shared" si="18"/>
        <v>0</v>
      </c>
      <c r="AY22" s="38" t="str">
        <f t="shared" si="1"/>
        <v>B9</v>
      </c>
      <c r="AZ22" s="38" t="str">
        <f t="shared" si="2"/>
        <v>0</v>
      </c>
      <c r="BA22" s="38" t="str">
        <f t="shared" si="3"/>
        <v>1</v>
      </c>
      <c r="BB22" s="38" t="str">
        <f t="shared" si="4"/>
        <v>0</v>
      </c>
      <c r="BC22" s="38">
        <f t="shared" si="5"/>
        <v>1</v>
      </c>
      <c r="BD22" s="38">
        <f t="shared" si="6"/>
        <v>0</v>
      </c>
      <c r="BL22" s="38" t="str">
        <f t="shared" si="7"/>
        <v/>
      </c>
      <c r="BM22" s="38" t="str">
        <f t="shared" si="8"/>
        <v>dBX</v>
      </c>
      <c r="BN22" s="38" t="str">
        <f t="shared" si="9"/>
        <v/>
      </c>
      <c r="BO22" s="38" t="str">
        <f t="shared" si="10"/>
        <v/>
      </c>
      <c r="BP22" s="38" t="str">
        <f t="shared" si="11"/>
        <v/>
      </c>
      <c r="BQ22" s="38" t="str">
        <f t="shared" si="12"/>
        <v>dBX</v>
      </c>
    </row>
    <row r="23" spans="1:69" ht="15.6" x14ac:dyDescent="0.3">
      <c r="A23" s="125"/>
      <c r="B23" s="397" t="str">
        <f>IF(ISBLANK(HLOOKUP($F$10,spelerslijsten!$B$1:$J$22,22,FALSE)),"",HLOOKUP($F$10,spelerslijsten!$B$1:$J$22,22,FALSE))</f>
        <v/>
      </c>
      <c r="C23" s="398"/>
      <c r="D23" s="126"/>
      <c r="E23" s="259" t="str">
        <f>IF(ISBLANK(HLOOKUP($F$10,spelerslijsten!$B$1:$J$22,21,FALSE)),"",HLOOKUP($F$10,spelerslijsten!$B$1:$J$22,21,FALSE))</f>
        <v/>
      </c>
      <c r="F23" s="126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08">
        <f t="shared" si="22"/>
        <v>0</v>
      </c>
      <c r="W23" s="109" t="str">
        <f t="shared" si="13"/>
        <v/>
      </c>
      <c r="X23" s="110" t="str">
        <f t="shared" si="14"/>
        <v/>
      </c>
      <c r="Y23" s="103" t="str">
        <f t="shared" si="15"/>
        <v/>
      </c>
      <c r="Z23" s="111"/>
      <c r="AA23" s="112">
        <v>8</v>
      </c>
      <c r="AB23" s="113" t="str">
        <f t="shared" si="16"/>
        <v>-</v>
      </c>
      <c r="AC23" s="112">
        <v>0</v>
      </c>
      <c r="AD23" s="114">
        <v>7</v>
      </c>
      <c r="AE23" s="115"/>
      <c r="AF23" s="115"/>
      <c r="AG23" s="116" t="s">
        <v>265</v>
      </c>
      <c r="AH23" s="117"/>
      <c r="AI23" s="117"/>
      <c r="AJ23" s="342" t="s">
        <v>18</v>
      </c>
      <c r="AK23" s="343"/>
      <c r="AL23" s="346">
        <v>9</v>
      </c>
      <c r="AM23" s="347"/>
      <c r="AN23" s="118"/>
      <c r="AO23" s="101">
        <f t="shared" si="19"/>
        <v>7</v>
      </c>
      <c r="AP23" s="113" t="str">
        <f t="shared" si="20"/>
        <v>-</v>
      </c>
      <c r="AQ23" s="119"/>
      <c r="AR23" s="103">
        <f t="shared" si="21"/>
        <v>4</v>
      </c>
      <c r="AT23" s="38" t="str">
        <f t="shared" si="17"/>
        <v>W</v>
      </c>
      <c r="AU23" s="38">
        <f t="shared" si="18"/>
        <v>0</v>
      </c>
      <c r="AY23" s="38" t="str">
        <f t="shared" si="1"/>
        <v>B9</v>
      </c>
      <c r="AZ23" s="38" t="str">
        <f t="shared" si="2"/>
        <v>0</v>
      </c>
      <c r="BA23" s="38" t="str">
        <f t="shared" si="3"/>
        <v>1</v>
      </c>
      <c r="BB23" s="38" t="str">
        <f t="shared" si="4"/>
        <v>0</v>
      </c>
      <c r="BC23" s="38">
        <f t="shared" si="5"/>
        <v>1</v>
      </c>
      <c r="BD23" s="38">
        <f t="shared" si="6"/>
        <v>0</v>
      </c>
      <c r="BL23" s="38" t="str">
        <f t="shared" si="7"/>
        <v/>
      </c>
      <c r="BM23" s="38" t="str">
        <f t="shared" si="8"/>
        <v>dBX</v>
      </c>
      <c r="BN23" s="38" t="str">
        <f t="shared" si="9"/>
        <v/>
      </c>
      <c r="BO23" s="38" t="str">
        <f t="shared" si="10"/>
        <v/>
      </c>
      <c r="BP23" s="38" t="str">
        <f t="shared" si="11"/>
        <v/>
      </c>
      <c r="BQ23" s="38" t="str">
        <f t="shared" si="12"/>
        <v>dBX</v>
      </c>
    </row>
    <row r="24" spans="1:69" ht="16.2" thickBot="1" x14ac:dyDescent="0.35">
      <c r="A24" s="71" t="s">
        <v>67</v>
      </c>
      <c r="B24" s="72"/>
      <c r="C24" s="72"/>
      <c r="D24" s="72"/>
      <c r="E24" s="72"/>
      <c r="F24" s="72"/>
      <c r="G24" s="72"/>
      <c r="I24" s="399">
        <f>HLOOKUP(F10,spelerslijsten!B1:J25,25,FALSE)</f>
        <v>0</v>
      </c>
      <c r="J24" s="400"/>
      <c r="K24" s="74" t="s">
        <v>23</v>
      </c>
      <c r="L24" s="72"/>
      <c r="M24" s="72"/>
      <c r="N24" s="129" t="str">
        <f>HLOOKUP(F10,spelerslijsten!B1:J25,23,FALSE)</f>
        <v>Andre Buitink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30"/>
      <c r="Z24" s="131"/>
      <c r="AA24" s="132">
        <v>9</v>
      </c>
      <c r="AB24" s="133" t="str">
        <f t="shared" si="16"/>
        <v>-</v>
      </c>
      <c r="AC24" s="132">
        <v>2</v>
      </c>
      <c r="AD24" s="134">
        <v>0</v>
      </c>
      <c r="AE24" s="135"/>
      <c r="AF24" s="135"/>
      <c r="AG24" s="136" t="s">
        <v>265</v>
      </c>
      <c r="AH24" s="137"/>
      <c r="AI24" s="137"/>
      <c r="AJ24" s="342" t="s">
        <v>18</v>
      </c>
      <c r="AK24" s="343"/>
      <c r="AL24" s="350">
        <v>9</v>
      </c>
      <c r="AM24" s="351"/>
      <c r="AN24" s="138"/>
      <c r="AO24" s="101">
        <f t="shared" si="19"/>
        <v>7</v>
      </c>
      <c r="AP24" s="113" t="str">
        <f t="shared" si="20"/>
        <v>-</v>
      </c>
      <c r="AQ24" s="119"/>
      <c r="AR24" s="103">
        <f t="shared" si="21"/>
        <v>5</v>
      </c>
      <c r="AY24" s="38" t="str">
        <f t="shared" si="1"/>
        <v>B9</v>
      </c>
      <c r="AZ24" s="38" t="str">
        <f t="shared" si="2"/>
        <v>0</v>
      </c>
      <c r="BA24" s="38" t="str">
        <f t="shared" si="3"/>
        <v>1</v>
      </c>
      <c r="BB24" s="38" t="str">
        <f t="shared" si="4"/>
        <v>0</v>
      </c>
      <c r="BC24" s="38">
        <f t="shared" si="5"/>
        <v>1</v>
      </c>
      <c r="BD24" s="38">
        <f t="shared" si="6"/>
        <v>0</v>
      </c>
      <c r="BL24" s="38" t="str">
        <f t="shared" si="7"/>
        <v/>
      </c>
      <c r="BM24" s="38" t="str">
        <f t="shared" si="8"/>
        <v>dBX</v>
      </c>
      <c r="BN24" s="38" t="str">
        <f t="shared" si="9"/>
        <v/>
      </c>
      <c r="BO24" s="38" t="str">
        <f t="shared" si="10"/>
        <v/>
      </c>
      <c r="BP24" s="38" t="str">
        <f t="shared" si="11"/>
        <v/>
      </c>
      <c r="BQ24" s="38" t="str">
        <f t="shared" si="12"/>
        <v>dBX</v>
      </c>
    </row>
    <row r="25" spans="1:69" ht="15" customHeight="1" x14ac:dyDescent="0.3">
      <c r="A25" s="78" t="s">
        <v>60</v>
      </c>
      <c r="B25" s="79"/>
      <c r="C25" s="79"/>
      <c r="D25" s="79"/>
      <c r="E25" s="79"/>
      <c r="F25" s="356" t="str">
        <f>+AC7</f>
        <v>RZ Roermond</v>
      </c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7"/>
      <c r="Z25" s="139"/>
      <c r="AA25" s="140">
        <v>9</v>
      </c>
      <c r="AB25" s="141" t="str">
        <f t="shared" si="16"/>
        <v>-</v>
      </c>
      <c r="AC25" s="140">
        <v>5</v>
      </c>
      <c r="AD25" s="142">
        <v>0</v>
      </c>
      <c r="AE25" s="143"/>
      <c r="AF25" s="143"/>
      <c r="AG25" s="144" t="s">
        <v>265</v>
      </c>
      <c r="AH25" s="145"/>
      <c r="AI25" s="145"/>
      <c r="AJ25" s="342" t="s">
        <v>17</v>
      </c>
      <c r="AK25" s="343"/>
      <c r="AL25" s="346">
        <v>8</v>
      </c>
      <c r="AM25" s="347"/>
      <c r="AN25" s="146"/>
      <c r="AO25" s="101">
        <f t="shared" si="19"/>
        <v>8</v>
      </c>
      <c r="AP25" s="113" t="str">
        <f t="shared" si="20"/>
        <v>-</v>
      </c>
      <c r="AQ25" s="119"/>
      <c r="AR25" s="103">
        <f t="shared" si="21"/>
        <v>5</v>
      </c>
      <c r="AY25" s="38" t="str">
        <f t="shared" si="1"/>
        <v>W8</v>
      </c>
      <c r="AZ25" s="38" t="str">
        <f t="shared" si="2"/>
        <v>0</v>
      </c>
      <c r="BA25" s="38" t="str">
        <f t="shared" si="3"/>
        <v>1</v>
      </c>
      <c r="BB25" s="38" t="str">
        <f t="shared" si="4"/>
        <v>0</v>
      </c>
      <c r="BC25" s="38">
        <f t="shared" si="5"/>
        <v>1</v>
      </c>
      <c r="BD25" s="38">
        <f t="shared" si="6"/>
        <v>0</v>
      </c>
      <c r="BL25" s="38" t="str">
        <f t="shared" si="7"/>
        <v/>
      </c>
      <c r="BM25" s="38" t="str">
        <f t="shared" si="8"/>
        <v>dWX</v>
      </c>
      <c r="BN25" s="38" t="str">
        <f t="shared" si="9"/>
        <v/>
      </c>
      <c r="BO25" s="38" t="str">
        <f t="shared" si="10"/>
        <v/>
      </c>
      <c r="BP25" s="38" t="str">
        <f t="shared" si="11"/>
        <v/>
      </c>
      <c r="BQ25" s="38" t="str">
        <f t="shared" si="12"/>
        <v>dWX</v>
      </c>
    </row>
    <row r="26" spans="1:69" ht="15" customHeight="1" x14ac:dyDescent="0.3">
      <c r="A26" s="393" t="s">
        <v>24</v>
      </c>
      <c r="B26" s="394"/>
      <c r="C26" s="394"/>
      <c r="D26" s="394"/>
      <c r="E26" s="81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9"/>
      <c r="Z26" s="139">
        <v>1</v>
      </c>
      <c r="AA26" s="140">
        <v>0</v>
      </c>
      <c r="AB26" s="141" t="s">
        <v>16</v>
      </c>
      <c r="AC26" s="140">
        <v>2</v>
      </c>
      <c r="AD26" s="142">
        <v>5</v>
      </c>
      <c r="AE26" s="143"/>
      <c r="AF26" s="143"/>
      <c r="AG26" s="144" t="s">
        <v>265</v>
      </c>
      <c r="AH26" s="145"/>
      <c r="AI26" s="145"/>
      <c r="AJ26" s="342" t="s">
        <v>18</v>
      </c>
      <c r="AK26" s="343"/>
      <c r="AL26" s="346">
        <v>9</v>
      </c>
      <c r="AM26" s="347"/>
      <c r="AN26" s="146"/>
      <c r="AO26" s="101">
        <f t="shared" si="19"/>
        <v>8</v>
      </c>
      <c r="AP26" s="113" t="str">
        <f t="shared" si="20"/>
        <v>-</v>
      </c>
      <c r="AQ26" s="119"/>
      <c r="AR26" s="103">
        <f t="shared" si="21"/>
        <v>6</v>
      </c>
      <c r="AY26" s="38" t="str">
        <f t="shared" si="1"/>
        <v>B9</v>
      </c>
      <c r="AZ26" s="38" t="str">
        <f t="shared" si="2"/>
        <v>0</v>
      </c>
      <c r="BA26" s="38" t="str">
        <f t="shared" si="3"/>
        <v>1</v>
      </c>
      <c r="BB26" s="38" t="str">
        <f t="shared" si="4"/>
        <v>0</v>
      </c>
      <c r="BC26" s="38">
        <f t="shared" si="5"/>
        <v>1</v>
      </c>
      <c r="BD26" s="38">
        <f t="shared" si="6"/>
        <v>0</v>
      </c>
      <c r="BL26" s="38" t="str">
        <f t="shared" si="7"/>
        <v/>
      </c>
      <c r="BM26" s="38" t="str">
        <f t="shared" si="8"/>
        <v>dBX</v>
      </c>
      <c r="BN26" s="38" t="str">
        <f t="shared" si="9"/>
        <v/>
      </c>
      <c r="BO26" s="38" t="str">
        <f t="shared" si="10"/>
        <v/>
      </c>
      <c r="BP26" s="38" t="str">
        <f t="shared" si="11"/>
        <v/>
      </c>
      <c r="BQ26" s="38" t="str">
        <f t="shared" si="12"/>
        <v>dBX</v>
      </c>
    </row>
    <row r="27" spans="1:69" ht="15.6" x14ac:dyDescent="0.3">
      <c r="A27" s="393"/>
      <c r="B27" s="394"/>
      <c r="C27" s="394"/>
      <c r="D27" s="394"/>
      <c r="E27" s="81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9"/>
      <c r="Z27" s="139">
        <v>1</v>
      </c>
      <c r="AA27" s="140">
        <v>1</v>
      </c>
      <c r="AB27" s="141" t="s">
        <v>16</v>
      </c>
      <c r="AC27" s="140">
        <v>1</v>
      </c>
      <c r="AD27" s="142">
        <v>5</v>
      </c>
      <c r="AE27" s="143"/>
      <c r="AF27" s="143"/>
      <c r="AG27" s="144" t="s">
        <v>265</v>
      </c>
      <c r="AH27" s="145"/>
      <c r="AI27" s="145"/>
      <c r="AJ27" s="342" t="s">
        <v>17</v>
      </c>
      <c r="AK27" s="343"/>
      <c r="AL27" s="346">
        <v>3</v>
      </c>
      <c r="AM27" s="347"/>
      <c r="AN27" s="146"/>
      <c r="AO27" s="101">
        <f t="shared" si="19"/>
        <v>9</v>
      </c>
      <c r="AP27" s="113" t="str">
        <f t="shared" si="20"/>
        <v>-</v>
      </c>
      <c r="AQ27" s="119"/>
      <c r="AR27" s="103">
        <f t="shared" si="21"/>
        <v>6</v>
      </c>
      <c r="AY27" s="38" t="str">
        <f t="shared" si="1"/>
        <v>W3</v>
      </c>
      <c r="AZ27" s="38" t="str">
        <f t="shared" si="2"/>
        <v>0</v>
      </c>
      <c r="BA27" s="38" t="str">
        <f t="shared" si="3"/>
        <v>1</v>
      </c>
      <c r="BB27" s="38" t="str">
        <f t="shared" si="4"/>
        <v>0</v>
      </c>
      <c r="BC27" s="38">
        <f t="shared" si="5"/>
        <v>1</v>
      </c>
      <c r="BD27" s="38">
        <f t="shared" si="6"/>
        <v>0</v>
      </c>
      <c r="BL27" s="38" t="str">
        <f t="shared" si="7"/>
        <v/>
      </c>
      <c r="BM27" s="38" t="str">
        <f t="shared" si="8"/>
        <v>dWX</v>
      </c>
      <c r="BN27" s="38" t="str">
        <f t="shared" si="9"/>
        <v/>
      </c>
      <c r="BO27" s="38" t="str">
        <f t="shared" si="10"/>
        <v/>
      </c>
      <c r="BP27" s="38" t="str">
        <f t="shared" si="11"/>
        <v/>
      </c>
      <c r="BQ27" s="38" t="str">
        <f t="shared" si="12"/>
        <v>dWX</v>
      </c>
    </row>
    <row r="28" spans="1:69" ht="15.6" x14ac:dyDescent="0.3">
      <c r="A28" s="395"/>
      <c r="B28" s="396"/>
      <c r="C28" s="396"/>
      <c r="D28" s="396"/>
      <c r="E28" s="81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1"/>
      <c r="Z28" s="147">
        <v>1</v>
      </c>
      <c r="AA28" s="140">
        <v>1</v>
      </c>
      <c r="AB28" s="148" t="str">
        <f>+AB25</f>
        <v>-</v>
      </c>
      <c r="AC28" s="140">
        <v>4</v>
      </c>
      <c r="AD28" s="142">
        <v>7</v>
      </c>
      <c r="AE28" s="143"/>
      <c r="AF28" s="143"/>
      <c r="AG28" s="144" t="s">
        <v>265</v>
      </c>
      <c r="AH28" s="145"/>
      <c r="AI28" s="145"/>
      <c r="AJ28" s="342" t="s">
        <v>18</v>
      </c>
      <c r="AK28" s="343"/>
      <c r="AL28" s="346">
        <v>9</v>
      </c>
      <c r="AM28" s="347"/>
      <c r="AN28" s="146"/>
      <c r="AO28" s="101">
        <f t="shared" si="19"/>
        <v>9</v>
      </c>
      <c r="AP28" s="113" t="str">
        <f t="shared" si="20"/>
        <v>-</v>
      </c>
      <c r="AQ28" s="119"/>
      <c r="AR28" s="103">
        <f t="shared" si="21"/>
        <v>7</v>
      </c>
      <c r="AY28" s="38" t="str">
        <f t="shared" si="1"/>
        <v>B9</v>
      </c>
      <c r="AZ28" s="38" t="str">
        <f t="shared" si="2"/>
        <v>0</v>
      </c>
      <c r="BA28" s="38" t="str">
        <f t="shared" si="3"/>
        <v>1</v>
      </c>
      <c r="BB28" s="38" t="str">
        <f t="shared" si="4"/>
        <v>0</v>
      </c>
      <c r="BC28" s="38">
        <f t="shared" si="5"/>
        <v>1</v>
      </c>
      <c r="BD28" s="38">
        <f t="shared" si="6"/>
        <v>0</v>
      </c>
      <c r="BL28" s="38" t="str">
        <f t="shared" si="7"/>
        <v/>
      </c>
      <c r="BM28" s="38" t="str">
        <f t="shared" si="8"/>
        <v>dBX</v>
      </c>
      <c r="BN28" s="38" t="str">
        <f t="shared" si="9"/>
        <v/>
      </c>
      <c r="BO28" s="38" t="str">
        <f t="shared" si="10"/>
        <v/>
      </c>
      <c r="BP28" s="38" t="str">
        <f t="shared" si="11"/>
        <v/>
      </c>
      <c r="BQ28" s="38" t="str">
        <f t="shared" si="12"/>
        <v>dBX</v>
      </c>
    </row>
    <row r="29" spans="1:69" ht="15.6" x14ac:dyDescent="0.3">
      <c r="A29" s="86" t="s">
        <v>0</v>
      </c>
      <c r="B29" s="87" t="s">
        <v>1</v>
      </c>
      <c r="C29" s="64"/>
      <c r="D29" s="89"/>
      <c r="E29" s="88" t="s">
        <v>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90"/>
      <c r="V29" s="91" t="s">
        <v>3</v>
      </c>
      <c r="W29" s="91" t="s">
        <v>4</v>
      </c>
      <c r="X29" s="91" t="s">
        <v>5</v>
      </c>
      <c r="Y29" s="92" t="s">
        <v>6</v>
      </c>
      <c r="Z29" s="111">
        <v>1</v>
      </c>
      <c r="AA29" s="149">
        <v>2</v>
      </c>
      <c r="AB29" s="150" t="str">
        <f t="shared" si="16"/>
        <v>-</v>
      </c>
      <c r="AC29" s="149">
        <v>2</v>
      </c>
      <c r="AD29" s="151">
        <v>9</v>
      </c>
      <c r="AE29" s="152"/>
      <c r="AF29" s="152"/>
      <c r="AG29" s="153" t="s">
        <v>265</v>
      </c>
      <c r="AH29" s="154"/>
      <c r="AI29" s="154"/>
      <c r="AJ29" s="342" t="s">
        <v>17</v>
      </c>
      <c r="AK29" s="343"/>
      <c r="AL29" s="348">
        <v>8</v>
      </c>
      <c r="AM29" s="349"/>
      <c r="AN29" s="155"/>
      <c r="AO29" s="101">
        <f t="shared" si="19"/>
        <v>10</v>
      </c>
      <c r="AP29" s="113" t="str">
        <f t="shared" si="20"/>
        <v>-</v>
      </c>
      <c r="AQ29" s="119"/>
      <c r="AR29" s="103">
        <f t="shared" si="21"/>
        <v>7</v>
      </c>
      <c r="AY29" s="38" t="str">
        <f t="shared" si="1"/>
        <v>W8</v>
      </c>
      <c r="AZ29" s="38" t="str">
        <f t="shared" si="2"/>
        <v>0</v>
      </c>
      <c r="BA29" s="38" t="str">
        <f t="shared" si="3"/>
        <v>1</v>
      </c>
      <c r="BB29" s="38" t="str">
        <f t="shared" si="4"/>
        <v>0</v>
      </c>
      <c r="BC29" s="38">
        <f t="shared" si="5"/>
        <v>1</v>
      </c>
      <c r="BD29" s="38">
        <f t="shared" si="6"/>
        <v>0</v>
      </c>
      <c r="BL29" s="38" t="str">
        <f t="shared" si="7"/>
        <v/>
      </c>
      <c r="BM29" s="38" t="str">
        <f t="shared" si="8"/>
        <v>dWX</v>
      </c>
      <c r="BN29" s="38" t="str">
        <f t="shared" si="9"/>
        <v/>
      </c>
      <c r="BO29" s="38" t="str">
        <f t="shared" si="10"/>
        <v/>
      </c>
      <c r="BP29" s="38" t="str">
        <f t="shared" si="11"/>
        <v/>
      </c>
      <c r="BQ29" s="38" t="str">
        <f t="shared" si="12"/>
        <v>dWX</v>
      </c>
    </row>
    <row r="30" spans="1:69" ht="15.6" x14ac:dyDescent="0.3">
      <c r="A30" s="104" t="s">
        <v>265</v>
      </c>
      <c r="B30" s="397">
        <f>IF(ISBLANK(HLOOKUP($F$25,spelerslijsten!$B$1:$J$22,4,FALSE)),"",HLOOKUP($F$25,spelerslijsten!$B$1:$J$22,4,FALSE))</f>
        <v>3</v>
      </c>
      <c r="C30" s="398"/>
      <c r="D30" s="105"/>
      <c r="E30" s="106" t="str">
        <f>IF(ISBLANK(HLOOKUP($F$25,spelerslijsten!$B$1:$J$22,3,FALSE)),"",HLOOKUP($F$25,spelerslijsten!$B$1:$J$22,3,FALSE))</f>
        <v>Helga Addink</v>
      </c>
      <c r="F30" s="105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8">
        <f t="shared" ref="V30:V39" si="23">SUMIF($AY$13:$AY$46,AT30,$BC$13:$BC$46)</f>
        <v>0</v>
      </c>
      <c r="W30" s="109" t="str">
        <f>IF(AU30&gt;0,"x","")</f>
        <v/>
      </c>
      <c r="X30" s="110" t="str">
        <f>IF(AU30&gt;1,"x","")</f>
        <v/>
      </c>
      <c r="Y30" s="103" t="str">
        <f>IF(AU30&gt;2,"x","")</f>
        <v/>
      </c>
      <c r="Z30" s="111">
        <v>1</v>
      </c>
      <c r="AA30" s="112">
        <v>3</v>
      </c>
      <c r="AB30" s="113" t="str">
        <f t="shared" si="16"/>
        <v>-</v>
      </c>
      <c r="AC30" s="112">
        <v>3</v>
      </c>
      <c r="AD30" s="114">
        <v>0</v>
      </c>
      <c r="AE30" s="115"/>
      <c r="AF30" s="115"/>
      <c r="AG30" s="116" t="s">
        <v>265</v>
      </c>
      <c r="AH30" s="117"/>
      <c r="AI30" s="117"/>
      <c r="AJ30" s="342" t="s">
        <v>17</v>
      </c>
      <c r="AK30" s="343"/>
      <c r="AL30" s="346">
        <v>6</v>
      </c>
      <c r="AM30" s="347"/>
      <c r="AN30" s="118"/>
      <c r="AO30" s="101">
        <f t="shared" si="19"/>
        <v>11</v>
      </c>
      <c r="AP30" s="113" t="str">
        <f t="shared" si="20"/>
        <v>-</v>
      </c>
      <c r="AQ30" s="119"/>
      <c r="AR30" s="103">
        <f t="shared" si="21"/>
        <v>7</v>
      </c>
      <c r="AT30" s="38" t="str">
        <f>CONCATENATE($AV$11&amp;B30)</f>
        <v>B3</v>
      </c>
      <c r="AU30" s="38">
        <f t="shared" si="18"/>
        <v>0</v>
      </c>
      <c r="AY30" s="38" t="str">
        <f t="shared" si="1"/>
        <v>W6</v>
      </c>
      <c r="AZ30" s="38" t="str">
        <f t="shared" si="2"/>
        <v>0</v>
      </c>
      <c r="BA30" s="38" t="str">
        <f t="shared" si="3"/>
        <v>1</v>
      </c>
      <c r="BB30" s="38" t="str">
        <f t="shared" si="4"/>
        <v>0</v>
      </c>
      <c r="BC30" s="38">
        <f t="shared" si="5"/>
        <v>1</v>
      </c>
      <c r="BD30" s="38">
        <f t="shared" si="6"/>
        <v>0</v>
      </c>
      <c r="BL30" s="38" t="str">
        <f t="shared" si="7"/>
        <v/>
      </c>
      <c r="BM30" s="38" t="str">
        <f t="shared" si="8"/>
        <v>dWX</v>
      </c>
      <c r="BN30" s="38" t="str">
        <f t="shared" si="9"/>
        <v/>
      </c>
      <c r="BO30" s="38" t="str">
        <f t="shared" si="10"/>
        <v/>
      </c>
      <c r="BP30" s="38" t="str">
        <f t="shared" si="11"/>
        <v/>
      </c>
      <c r="BQ30" s="38" t="str">
        <f t="shared" si="12"/>
        <v>dWX</v>
      </c>
    </row>
    <row r="31" spans="1:69" ht="15.6" x14ac:dyDescent="0.3">
      <c r="A31" s="120" t="s">
        <v>265</v>
      </c>
      <c r="B31" s="397">
        <f>IF(ISBLANK(HLOOKUP($F$25,spelerslijsten!$B$1:$J$22,6,FALSE)),"",HLOOKUP($F$25,spelerslijsten!$B$1:$J$22,6,FALSE))</f>
        <v>4</v>
      </c>
      <c r="C31" s="398"/>
      <c r="D31" s="121"/>
      <c r="E31" s="122" t="str">
        <f>IF(ISBLANK(HLOOKUP($F$25,spelerslijsten!$B$1:$J$22,5,FALSE)),"",HLOOKUP($F$25,spelerslijsten!$B$1:$J$22,5,FALSE))</f>
        <v>Werner Dudek</v>
      </c>
      <c r="F31" s="12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08">
        <f t="shared" si="23"/>
        <v>0</v>
      </c>
      <c r="W31" s="109" t="str">
        <f t="shared" ref="W31:W39" si="24">IF(AU31&gt;0,"x","")</f>
        <v/>
      </c>
      <c r="X31" s="110" t="str">
        <f t="shared" ref="X31:X39" si="25">IF(AU31&gt;1,"x","")</f>
        <v/>
      </c>
      <c r="Y31" s="103" t="str">
        <f t="shared" ref="Y31:Y39" si="26">IF(AU31&gt;2,"x","")</f>
        <v/>
      </c>
      <c r="Z31" s="111"/>
      <c r="AA31" s="112"/>
      <c r="AB31" s="113" t="str">
        <f t="shared" si="16"/>
        <v>-</v>
      </c>
      <c r="AC31" s="112"/>
      <c r="AD31" s="114"/>
      <c r="AE31" s="115"/>
      <c r="AF31" s="115"/>
      <c r="AG31" s="116"/>
      <c r="AH31" s="117"/>
      <c r="AI31" s="117"/>
      <c r="AJ31" s="342"/>
      <c r="AK31" s="343"/>
      <c r="AL31" s="346"/>
      <c r="AM31" s="347"/>
      <c r="AN31" s="118"/>
      <c r="AO31" s="101" t="str">
        <f t="shared" si="19"/>
        <v/>
      </c>
      <c r="AP31" s="113" t="str">
        <f t="shared" si="20"/>
        <v>-</v>
      </c>
      <c r="AQ31" s="119"/>
      <c r="AR31" s="103" t="str">
        <f t="shared" si="21"/>
        <v/>
      </c>
      <c r="AT31" s="38" t="str">
        <f t="shared" ref="AT31:AT39" si="27">CONCATENATE($AV$11&amp;B31)</f>
        <v>B4</v>
      </c>
      <c r="AU31" s="38">
        <f t="shared" si="18"/>
        <v>0</v>
      </c>
      <c r="AY31" s="38" t="str">
        <f t="shared" si="1"/>
        <v/>
      </c>
      <c r="AZ31" s="38" t="str">
        <f t="shared" si="2"/>
        <v>0</v>
      </c>
      <c r="BA31" s="38" t="str">
        <f t="shared" si="3"/>
        <v>0</v>
      </c>
      <c r="BB31" s="38" t="str">
        <f t="shared" si="4"/>
        <v>0</v>
      </c>
      <c r="BC31" s="38">
        <f t="shared" si="5"/>
        <v>0</v>
      </c>
      <c r="BD31" s="38">
        <f t="shared" si="6"/>
        <v>0</v>
      </c>
      <c r="BL31" s="38" t="str">
        <f t="shared" si="7"/>
        <v/>
      </c>
      <c r="BM31" s="38" t="str">
        <f t="shared" si="8"/>
        <v/>
      </c>
      <c r="BN31" s="38" t="str">
        <f t="shared" si="9"/>
        <v/>
      </c>
      <c r="BO31" s="38" t="str">
        <f t="shared" si="10"/>
        <v/>
      </c>
      <c r="BP31" s="38" t="str">
        <f t="shared" si="11"/>
        <v/>
      </c>
      <c r="BQ31" s="38" t="str">
        <f t="shared" si="12"/>
        <v/>
      </c>
    </row>
    <row r="32" spans="1:69" ht="15.6" x14ac:dyDescent="0.3">
      <c r="A32" s="124" t="s">
        <v>265</v>
      </c>
      <c r="B32" s="397">
        <f>IF(ISBLANK(HLOOKUP($F$25,spelerslijsten!$B$1:$J$22,8,FALSE)),"",HLOOKUP($F$25,spelerslijsten!$B$1:$J$22,8,FALSE))</f>
        <v>5</v>
      </c>
      <c r="C32" s="398"/>
      <c r="D32" s="121"/>
      <c r="E32" s="122" t="str">
        <f>IF(ISBLANK(HLOOKUP($F$25,spelerslijsten!$B$1:$J$22,7,FALSE)),"",HLOOKUP($F$25,spelerslijsten!$B$1:$J$22,7,FALSE))</f>
        <v>Luc Mulder</v>
      </c>
      <c r="F32" s="12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08">
        <f t="shared" si="23"/>
        <v>0</v>
      </c>
      <c r="W32" s="109" t="str">
        <f t="shared" si="24"/>
        <v/>
      </c>
      <c r="X32" s="110" t="str">
        <f t="shared" si="25"/>
        <v/>
      </c>
      <c r="Y32" s="103" t="str">
        <f t="shared" si="26"/>
        <v/>
      </c>
      <c r="Z32" s="111"/>
      <c r="AA32" s="112"/>
      <c r="AB32" s="113" t="str">
        <f t="shared" si="16"/>
        <v>-</v>
      </c>
      <c r="AC32" s="112"/>
      <c r="AD32" s="114"/>
      <c r="AE32" s="115"/>
      <c r="AF32" s="115"/>
      <c r="AG32" s="116"/>
      <c r="AH32" s="117"/>
      <c r="AI32" s="117"/>
      <c r="AJ32" s="342"/>
      <c r="AK32" s="343"/>
      <c r="AL32" s="346"/>
      <c r="AM32" s="347"/>
      <c r="AN32" s="118"/>
      <c r="AO32" s="101" t="str">
        <f t="shared" si="19"/>
        <v/>
      </c>
      <c r="AP32" s="113" t="str">
        <f t="shared" si="20"/>
        <v>-</v>
      </c>
      <c r="AQ32" s="119"/>
      <c r="AR32" s="103" t="str">
        <f t="shared" si="21"/>
        <v/>
      </c>
      <c r="AT32" s="38" t="str">
        <f t="shared" si="27"/>
        <v>B5</v>
      </c>
      <c r="AU32" s="38">
        <f t="shared" si="18"/>
        <v>0</v>
      </c>
      <c r="AY32" s="38" t="str">
        <f t="shared" si="1"/>
        <v/>
      </c>
      <c r="AZ32" s="38" t="str">
        <f t="shared" si="2"/>
        <v>0</v>
      </c>
      <c r="BA32" s="38" t="str">
        <f t="shared" si="3"/>
        <v>0</v>
      </c>
      <c r="BB32" s="38" t="str">
        <f t="shared" si="4"/>
        <v>0</v>
      </c>
      <c r="BC32" s="38">
        <f t="shared" si="5"/>
        <v>0</v>
      </c>
      <c r="BD32" s="38">
        <f t="shared" si="6"/>
        <v>0</v>
      </c>
      <c r="BL32" s="38" t="str">
        <f t="shared" si="7"/>
        <v/>
      </c>
      <c r="BM32" s="38" t="str">
        <f t="shared" si="8"/>
        <v/>
      </c>
      <c r="BN32" s="38" t="str">
        <f t="shared" si="9"/>
        <v/>
      </c>
      <c r="BO32" s="38" t="str">
        <f t="shared" si="10"/>
        <v/>
      </c>
      <c r="BP32" s="38" t="str">
        <f t="shared" si="11"/>
        <v/>
      </c>
      <c r="BQ32" s="38" t="str">
        <f t="shared" si="12"/>
        <v/>
      </c>
    </row>
    <row r="33" spans="1:69" ht="15.6" x14ac:dyDescent="0.3">
      <c r="A33" s="124" t="s">
        <v>265</v>
      </c>
      <c r="B33" s="397">
        <f>IF(ISBLANK(HLOOKUP($F$25,spelerslijsten!$B$1:$J$22,10,FALSE)),"",HLOOKUP($F$25,spelerslijsten!$B$1:$J$22,10,FALSE))</f>
        <v>7</v>
      </c>
      <c r="C33" s="398"/>
      <c r="D33" s="121"/>
      <c r="E33" s="122" t="str">
        <f>IF(ISBLANK(HLOOKUP($F$25,spelerslijsten!$B$1:$J$22,9,FALSE)),"",HLOOKUP($F$25,spelerslijsten!$B$1:$J$22,9,FALSE))</f>
        <v>Ties Bouten</v>
      </c>
      <c r="F33" s="12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08">
        <f t="shared" si="23"/>
        <v>0</v>
      </c>
      <c r="W33" s="109" t="str">
        <f t="shared" si="24"/>
        <v/>
      </c>
      <c r="X33" s="110" t="str">
        <f t="shared" si="25"/>
        <v/>
      </c>
      <c r="Y33" s="103" t="str">
        <f t="shared" si="26"/>
        <v/>
      </c>
      <c r="Z33" s="111"/>
      <c r="AA33" s="112"/>
      <c r="AB33" s="113" t="str">
        <f t="shared" si="16"/>
        <v>-</v>
      </c>
      <c r="AC33" s="112"/>
      <c r="AD33" s="114"/>
      <c r="AE33" s="115"/>
      <c r="AF33" s="115"/>
      <c r="AG33" s="116"/>
      <c r="AH33" s="117"/>
      <c r="AI33" s="117"/>
      <c r="AJ33" s="342"/>
      <c r="AK33" s="343"/>
      <c r="AL33" s="346"/>
      <c r="AM33" s="347"/>
      <c r="AN33" s="118"/>
      <c r="AO33" s="101" t="str">
        <f t="shared" si="19"/>
        <v/>
      </c>
      <c r="AP33" s="113" t="str">
        <f t="shared" si="20"/>
        <v>-</v>
      </c>
      <c r="AQ33" s="119"/>
      <c r="AR33" s="103" t="str">
        <f t="shared" si="21"/>
        <v/>
      </c>
      <c r="AT33" s="38" t="str">
        <f t="shared" si="27"/>
        <v>B7</v>
      </c>
      <c r="AU33" s="38">
        <f t="shared" si="18"/>
        <v>0</v>
      </c>
      <c r="AY33" s="38" t="str">
        <f t="shared" si="1"/>
        <v/>
      </c>
      <c r="AZ33" s="38" t="str">
        <f t="shared" si="2"/>
        <v>0</v>
      </c>
      <c r="BA33" s="38" t="str">
        <f t="shared" si="3"/>
        <v>0</v>
      </c>
      <c r="BB33" s="38" t="str">
        <f t="shared" si="4"/>
        <v>0</v>
      </c>
      <c r="BC33" s="38">
        <f t="shared" si="5"/>
        <v>0</v>
      </c>
      <c r="BD33" s="38">
        <f t="shared" si="6"/>
        <v>0</v>
      </c>
      <c r="BL33" s="38" t="str">
        <f t="shared" si="7"/>
        <v/>
      </c>
      <c r="BM33" s="38" t="str">
        <f t="shared" si="8"/>
        <v/>
      </c>
      <c r="BN33" s="38" t="str">
        <f t="shared" si="9"/>
        <v/>
      </c>
      <c r="BO33" s="38" t="str">
        <f t="shared" si="10"/>
        <v/>
      </c>
      <c r="BP33" s="38" t="str">
        <f t="shared" si="11"/>
        <v/>
      </c>
      <c r="BQ33" s="38" t="str">
        <f t="shared" si="12"/>
        <v/>
      </c>
    </row>
    <row r="34" spans="1:69" ht="15.6" x14ac:dyDescent="0.3">
      <c r="A34" s="124" t="s">
        <v>265</v>
      </c>
      <c r="B34" s="397">
        <f>IF(ISBLANK(HLOOKUP($F$25,spelerslijsten!$B$1:$J$22,12,FALSE)),"",HLOOKUP($F$25,spelerslijsten!$B$1:$J$22,12,FALSE))</f>
        <v>9</v>
      </c>
      <c r="C34" s="398"/>
      <c r="D34" s="121"/>
      <c r="E34" s="122" t="str">
        <f>IF(ISBLANK(HLOOKUP($F$25,spelerslijsten!$B$1:$J$22,11,FALSE)),"",HLOOKUP($F$25,spelerslijsten!$B$1:$J$22,11,FALSE))</f>
        <v>Wilma van Helden</v>
      </c>
      <c r="F34" s="12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08">
        <f t="shared" si="23"/>
        <v>7</v>
      </c>
      <c r="W34" s="109" t="str">
        <f t="shared" si="24"/>
        <v/>
      </c>
      <c r="X34" s="110" t="str">
        <f t="shared" si="25"/>
        <v/>
      </c>
      <c r="Y34" s="103" t="str">
        <f t="shared" si="26"/>
        <v/>
      </c>
      <c r="Z34" s="111"/>
      <c r="AA34" s="112"/>
      <c r="AB34" s="113" t="str">
        <f t="shared" si="16"/>
        <v>-</v>
      </c>
      <c r="AC34" s="112"/>
      <c r="AD34" s="114"/>
      <c r="AE34" s="115"/>
      <c r="AF34" s="115"/>
      <c r="AG34" s="116"/>
      <c r="AH34" s="117"/>
      <c r="AI34" s="117"/>
      <c r="AJ34" s="342"/>
      <c r="AK34" s="343"/>
      <c r="AL34" s="346"/>
      <c r="AM34" s="347"/>
      <c r="AN34" s="118"/>
      <c r="AO34" s="101" t="str">
        <f t="shared" si="19"/>
        <v/>
      </c>
      <c r="AP34" s="113" t="str">
        <f t="shared" si="20"/>
        <v>-</v>
      </c>
      <c r="AQ34" s="119"/>
      <c r="AR34" s="103" t="str">
        <f t="shared" si="21"/>
        <v/>
      </c>
      <c r="AT34" s="38" t="str">
        <f t="shared" si="27"/>
        <v>B9</v>
      </c>
      <c r="AU34" s="38">
        <f t="shared" si="18"/>
        <v>0</v>
      </c>
      <c r="AY34" s="38" t="str">
        <f t="shared" si="1"/>
        <v/>
      </c>
      <c r="AZ34" s="38" t="str">
        <f t="shared" si="2"/>
        <v>0</v>
      </c>
      <c r="BA34" s="38" t="str">
        <f t="shared" si="3"/>
        <v>0</v>
      </c>
      <c r="BB34" s="38" t="str">
        <f t="shared" si="4"/>
        <v>0</v>
      </c>
      <c r="BC34" s="38">
        <f t="shared" si="5"/>
        <v>0</v>
      </c>
      <c r="BD34" s="38">
        <f t="shared" si="6"/>
        <v>0</v>
      </c>
      <c r="BL34" s="38" t="str">
        <f t="shared" si="7"/>
        <v/>
      </c>
      <c r="BM34" s="38" t="str">
        <f t="shared" si="8"/>
        <v/>
      </c>
      <c r="BN34" s="38" t="str">
        <f t="shared" si="9"/>
        <v/>
      </c>
      <c r="BO34" s="38" t="str">
        <f t="shared" si="10"/>
        <v/>
      </c>
      <c r="BP34" s="38" t="str">
        <f t="shared" si="11"/>
        <v/>
      </c>
      <c r="BQ34" s="38" t="str">
        <f t="shared" si="12"/>
        <v/>
      </c>
    </row>
    <row r="35" spans="1:69" ht="15.6" x14ac:dyDescent="0.3">
      <c r="A35" s="124"/>
      <c r="B35" s="397">
        <f>IF(ISBLANK(HLOOKUP($F$25,spelerslijsten!$B$1:$J$22,14,FALSE)),"",HLOOKUP($F$25,spelerslijsten!$B$1:$J$22,14,FALSE))</f>
        <v>11</v>
      </c>
      <c r="C35" s="398"/>
      <c r="D35" s="121"/>
      <c r="E35" s="122" t="str">
        <f>IF(ISBLANK(HLOOKUP($F$25,spelerslijsten!$B$1:$J$22,13,FALSE)),"",HLOOKUP($F$25,spelerslijsten!$B$1:$J$22,13,FALSE))</f>
        <v>Sonja Bouten</v>
      </c>
      <c r="F35" s="12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08">
        <f t="shared" si="23"/>
        <v>0</v>
      </c>
      <c r="W35" s="109" t="str">
        <f t="shared" si="24"/>
        <v/>
      </c>
      <c r="X35" s="110" t="str">
        <f t="shared" si="25"/>
        <v/>
      </c>
      <c r="Y35" s="103" t="str">
        <f t="shared" si="26"/>
        <v/>
      </c>
      <c r="Z35" s="111"/>
      <c r="AA35" s="112"/>
      <c r="AB35" s="113" t="str">
        <f t="shared" si="16"/>
        <v>-</v>
      </c>
      <c r="AC35" s="112"/>
      <c r="AD35" s="114"/>
      <c r="AE35" s="115"/>
      <c r="AF35" s="115"/>
      <c r="AG35" s="116"/>
      <c r="AH35" s="117"/>
      <c r="AI35" s="117"/>
      <c r="AJ35" s="342"/>
      <c r="AK35" s="343"/>
      <c r="AL35" s="346"/>
      <c r="AM35" s="347"/>
      <c r="AN35" s="118"/>
      <c r="AO35" s="101" t="str">
        <f t="shared" si="19"/>
        <v/>
      </c>
      <c r="AP35" s="113" t="str">
        <f t="shared" si="20"/>
        <v>-</v>
      </c>
      <c r="AQ35" s="119"/>
      <c r="AR35" s="103" t="str">
        <f t="shared" si="21"/>
        <v/>
      </c>
      <c r="AT35" s="38" t="str">
        <f t="shared" si="27"/>
        <v>B11</v>
      </c>
      <c r="AU35" s="38">
        <f t="shared" si="18"/>
        <v>0</v>
      </c>
      <c r="AY35" s="38" t="str">
        <f t="shared" si="1"/>
        <v/>
      </c>
      <c r="AZ35" s="38" t="str">
        <f t="shared" si="2"/>
        <v>0</v>
      </c>
      <c r="BA35" s="38" t="str">
        <f t="shared" si="3"/>
        <v>0</v>
      </c>
      <c r="BB35" s="38" t="str">
        <f t="shared" si="4"/>
        <v>0</v>
      </c>
      <c r="BC35" s="38">
        <f t="shared" si="5"/>
        <v>0</v>
      </c>
      <c r="BD35" s="38">
        <f t="shared" si="6"/>
        <v>0</v>
      </c>
      <c r="BL35" s="38" t="str">
        <f t="shared" si="7"/>
        <v/>
      </c>
      <c r="BM35" s="38" t="str">
        <f t="shared" si="8"/>
        <v/>
      </c>
      <c r="BN35" s="38" t="str">
        <f t="shared" si="9"/>
        <v/>
      </c>
      <c r="BO35" s="38" t="str">
        <f t="shared" si="10"/>
        <v/>
      </c>
      <c r="BP35" s="38" t="str">
        <f t="shared" si="11"/>
        <v/>
      </c>
      <c r="BQ35" s="38" t="str">
        <f t="shared" si="12"/>
        <v/>
      </c>
    </row>
    <row r="36" spans="1:69" ht="15.6" x14ac:dyDescent="0.3">
      <c r="A36" s="124" t="s">
        <v>265</v>
      </c>
      <c r="B36" s="397">
        <f>IF(ISBLANK(HLOOKUP($F$25,spelerslijsten!$B$1:$J$22,16,FALSE)),"",HLOOKUP($F$25,spelerslijsten!$B$1:$J$22,16,FALSE))</f>
        <v>12</v>
      </c>
      <c r="C36" s="398"/>
      <c r="D36" s="121"/>
      <c r="E36" s="122" t="str">
        <f>IF(ISBLANK(HLOOKUP($F$25,spelerslijsten!$B$1:$J$22,15,FALSE)),"",HLOOKUP($F$25,spelerslijsten!$B$1:$J$22,15,FALSE))</f>
        <v>Hans Reijnders (leen)</v>
      </c>
      <c r="F36" s="12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08">
        <f t="shared" si="23"/>
        <v>0</v>
      </c>
      <c r="W36" s="109" t="str">
        <f t="shared" si="24"/>
        <v/>
      </c>
      <c r="X36" s="110" t="str">
        <f t="shared" si="25"/>
        <v/>
      </c>
      <c r="Y36" s="103" t="str">
        <f t="shared" si="26"/>
        <v/>
      </c>
      <c r="Z36" s="111"/>
      <c r="AA36" s="112"/>
      <c r="AB36" s="113" t="str">
        <f t="shared" si="16"/>
        <v>-</v>
      </c>
      <c r="AC36" s="112"/>
      <c r="AD36" s="114"/>
      <c r="AE36" s="115"/>
      <c r="AF36" s="115"/>
      <c r="AG36" s="116"/>
      <c r="AH36" s="117"/>
      <c r="AI36" s="117"/>
      <c r="AJ36" s="342"/>
      <c r="AK36" s="343"/>
      <c r="AL36" s="346"/>
      <c r="AM36" s="347"/>
      <c r="AN36" s="118"/>
      <c r="AO36" s="101" t="str">
        <f t="shared" si="19"/>
        <v/>
      </c>
      <c r="AP36" s="113" t="str">
        <f t="shared" si="20"/>
        <v>-</v>
      </c>
      <c r="AQ36" s="119"/>
      <c r="AR36" s="103" t="str">
        <f t="shared" si="21"/>
        <v/>
      </c>
      <c r="AT36" s="38" t="str">
        <f t="shared" si="27"/>
        <v>B12</v>
      </c>
      <c r="AU36" s="38">
        <f t="shared" si="18"/>
        <v>0</v>
      </c>
      <c r="AY36" s="38" t="str">
        <f t="shared" si="1"/>
        <v/>
      </c>
      <c r="AZ36" s="38" t="str">
        <f t="shared" si="2"/>
        <v>0</v>
      </c>
      <c r="BA36" s="38" t="str">
        <f t="shared" si="3"/>
        <v>0</v>
      </c>
      <c r="BB36" s="38" t="str">
        <f t="shared" si="4"/>
        <v>0</v>
      </c>
      <c r="BC36" s="38">
        <f t="shared" si="5"/>
        <v>0</v>
      </c>
      <c r="BD36" s="38">
        <f t="shared" si="6"/>
        <v>0</v>
      </c>
      <c r="BL36" s="38" t="str">
        <f t="shared" si="7"/>
        <v/>
      </c>
      <c r="BM36" s="38" t="str">
        <f t="shared" si="8"/>
        <v/>
      </c>
      <c r="BN36" s="38" t="str">
        <f t="shared" si="9"/>
        <v/>
      </c>
      <c r="BO36" s="38" t="str">
        <f t="shared" si="10"/>
        <v/>
      </c>
      <c r="BP36" s="38" t="str">
        <f t="shared" si="11"/>
        <v/>
      </c>
      <c r="BQ36" s="38" t="str">
        <f t="shared" si="12"/>
        <v/>
      </c>
    </row>
    <row r="37" spans="1:69" ht="15.6" x14ac:dyDescent="0.3">
      <c r="A37" s="124"/>
      <c r="B37" s="397" t="str">
        <f>IF(ISBLANK(HLOOKUP($F$25,spelerslijsten!$B$1:$J$22,18,FALSE)),"",HLOOKUP($F$25,spelerslijsten!$B$1:$J$22,18,FALSE))</f>
        <v/>
      </c>
      <c r="C37" s="398"/>
      <c r="D37" s="121"/>
      <c r="E37" s="122" t="str">
        <f>IF(ISBLANK(HLOOKUP($F$25,spelerslijsten!$B$1:$J$22,17,FALSE)),"",HLOOKUP($F$25,spelerslijsten!$B$1:$J$22,17,FALSE))</f>
        <v/>
      </c>
      <c r="F37" s="12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08">
        <f t="shared" si="23"/>
        <v>0</v>
      </c>
      <c r="W37" s="109" t="str">
        <f t="shared" si="24"/>
        <v/>
      </c>
      <c r="X37" s="110" t="str">
        <f t="shared" si="25"/>
        <v/>
      </c>
      <c r="Y37" s="103" t="str">
        <f t="shared" si="26"/>
        <v/>
      </c>
      <c r="Z37" s="111"/>
      <c r="AA37" s="112"/>
      <c r="AB37" s="113" t="str">
        <f t="shared" si="16"/>
        <v>-</v>
      </c>
      <c r="AC37" s="112"/>
      <c r="AD37" s="114"/>
      <c r="AE37" s="115"/>
      <c r="AF37" s="115"/>
      <c r="AG37" s="116"/>
      <c r="AH37" s="117"/>
      <c r="AI37" s="117"/>
      <c r="AJ37" s="342"/>
      <c r="AK37" s="343"/>
      <c r="AL37" s="346"/>
      <c r="AM37" s="347"/>
      <c r="AN37" s="118"/>
      <c r="AO37" s="101" t="str">
        <f t="shared" si="19"/>
        <v/>
      </c>
      <c r="AP37" s="113" t="str">
        <f t="shared" si="20"/>
        <v>-</v>
      </c>
      <c r="AQ37" s="119"/>
      <c r="AR37" s="103" t="str">
        <f t="shared" si="21"/>
        <v/>
      </c>
      <c r="AT37" s="38" t="str">
        <f t="shared" si="27"/>
        <v>B</v>
      </c>
      <c r="AU37" s="38">
        <f t="shared" si="18"/>
        <v>0</v>
      </c>
      <c r="AY37" s="38" t="str">
        <f t="shared" si="1"/>
        <v/>
      </c>
      <c r="AZ37" s="38" t="str">
        <f t="shared" si="2"/>
        <v>0</v>
      </c>
      <c r="BA37" s="38" t="str">
        <f t="shared" si="3"/>
        <v>0</v>
      </c>
      <c r="BB37" s="38" t="str">
        <f t="shared" si="4"/>
        <v>0</v>
      </c>
      <c r="BC37" s="38">
        <f t="shared" si="5"/>
        <v>0</v>
      </c>
      <c r="BD37" s="38">
        <f t="shared" si="6"/>
        <v>0</v>
      </c>
      <c r="BL37" s="38" t="str">
        <f t="shared" si="7"/>
        <v/>
      </c>
      <c r="BM37" s="38" t="str">
        <f t="shared" si="8"/>
        <v/>
      </c>
      <c r="BN37" s="38" t="str">
        <f t="shared" si="9"/>
        <v/>
      </c>
      <c r="BO37" s="38" t="str">
        <f t="shared" si="10"/>
        <v/>
      </c>
      <c r="BP37" s="38" t="str">
        <f t="shared" si="11"/>
        <v/>
      </c>
      <c r="BQ37" s="38" t="str">
        <f t="shared" si="12"/>
        <v/>
      </c>
    </row>
    <row r="38" spans="1:69" ht="15.6" x14ac:dyDescent="0.3">
      <c r="A38" s="124"/>
      <c r="B38" s="397" t="str">
        <f>IF(ISBLANK(HLOOKUP($F$25,spelerslijsten!$B$1:$J$22,20,FALSE)),"",HLOOKUP($F$25,spelerslijsten!$B$1:$J$22,20,FALSE))</f>
        <v/>
      </c>
      <c r="C38" s="398"/>
      <c r="D38" s="121"/>
      <c r="E38" s="122" t="str">
        <f>IF(ISBLANK(HLOOKUP($F$25,spelerslijsten!$B$1:$J$22,19,FALSE)),"",HLOOKUP($F$25,spelerslijsten!$B$1:$J$22,19,FALSE))</f>
        <v/>
      </c>
      <c r="F38" s="12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08">
        <f t="shared" si="23"/>
        <v>0</v>
      </c>
      <c r="W38" s="109" t="str">
        <f t="shared" si="24"/>
        <v/>
      </c>
      <c r="X38" s="110" t="str">
        <f t="shared" si="25"/>
        <v/>
      </c>
      <c r="Y38" s="103" t="str">
        <f t="shared" si="26"/>
        <v/>
      </c>
      <c r="Z38" s="111"/>
      <c r="AA38" s="112"/>
      <c r="AB38" s="113" t="str">
        <f t="shared" si="16"/>
        <v>-</v>
      </c>
      <c r="AC38" s="112"/>
      <c r="AD38" s="114"/>
      <c r="AE38" s="115"/>
      <c r="AF38" s="115"/>
      <c r="AG38" s="116"/>
      <c r="AH38" s="117"/>
      <c r="AI38" s="117"/>
      <c r="AJ38" s="342"/>
      <c r="AK38" s="343"/>
      <c r="AL38" s="346"/>
      <c r="AM38" s="347"/>
      <c r="AN38" s="118"/>
      <c r="AO38" s="101" t="str">
        <f t="shared" si="19"/>
        <v/>
      </c>
      <c r="AP38" s="113" t="str">
        <f t="shared" si="20"/>
        <v>-</v>
      </c>
      <c r="AQ38" s="119"/>
      <c r="AR38" s="103" t="str">
        <f t="shared" si="21"/>
        <v/>
      </c>
      <c r="AT38" s="38" t="str">
        <f t="shared" si="27"/>
        <v>B</v>
      </c>
      <c r="AU38" s="38">
        <f t="shared" si="18"/>
        <v>0</v>
      </c>
      <c r="AY38" s="38" t="str">
        <f t="shared" si="1"/>
        <v/>
      </c>
      <c r="AZ38" s="38" t="str">
        <f t="shared" si="2"/>
        <v>0</v>
      </c>
      <c r="BA38" s="38" t="str">
        <f t="shared" si="3"/>
        <v>0</v>
      </c>
      <c r="BB38" s="38" t="str">
        <f t="shared" si="4"/>
        <v>0</v>
      </c>
      <c r="BC38" s="38">
        <f t="shared" si="5"/>
        <v>0</v>
      </c>
      <c r="BD38" s="38">
        <f t="shared" si="6"/>
        <v>0</v>
      </c>
      <c r="BL38" s="38" t="str">
        <f t="shared" si="7"/>
        <v/>
      </c>
      <c r="BM38" s="38" t="str">
        <f t="shared" si="8"/>
        <v/>
      </c>
      <c r="BN38" s="38" t="str">
        <f t="shared" si="9"/>
        <v/>
      </c>
      <c r="BO38" s="38" t="str">
        <f t="shared" si="10"/>
        <v/>
      </c>
      <c r="BP38" s="38" t="str">
        <f t="shared" si="11"/>
        <v/>
      </c>
      <c r="BQ38" s="38" t="str">
        <f t="shared" si="12"/>
        <v/>
      </c>
    </row>
    <row r="39" spans="1:69" ht="15.6" x14ac:dyDescent="0.3">
      <c r="A39" s="125"/>
      <c r="B39" s="397" t="str">
        <f>IF(ISBLANK(HLOOKUP($F$25,spelerslijsten!$B$1:$J$22,22,FALSE)),"",HLOOKUP($F$25,spelerslijsten!$B$1:$J$22,22,FALSE))</f>
        <v/>
      </c>
      <c r="C39" s="398"/>
      <c r="D39" s="126"/>
      <c r="E39" s="259" t="str">
        <f>IF(ISBLANK(HLOOKUP($F$25,spelerslijsten!$B$1:$J$22,21,FALSE)),"",HLOOKUP($F$25,spelerslijsten!$B$1:$J$22,21,FALSE))</f>
        <v/>
      </c>
      <c r="F39" s="126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08">
        <f t="shared" si="23"/>
        <v>0</v>
      </c>
      <c r="W39" s="109" t="str">
        <f t="shared" si="24"/>
        <v/>
      </c>
      <c r="X39" s="110" t="str">
        <f t="shared" si="25"/>
        <v/>
      </c>
      <c r="Y39" s="103" t="str">
        <f t="shared" si="26"/>
        <v/>
      </c>
      <c r="Z39" s="111"/>
      <c r="AA39" s="112"/>
      <c r="AB39" s="113" t="str">
        <f t="shared" si="16"/>
        <v>-</v>
      </c>
      <c r="AC39" s="112"/>
      <c r="AD39" s="114"/>
      <c r="AE39" s="115"/>
      <c r="AF39" s="115"/>
      <c r="AG39" s="116"/>
      <c r="AH39" s="117"/>
      <c r="AI39" s="117"/>
      <c r="AJ39" s="342"/>
      <c r="AK39" s="343"/>
      <c r="AL39" s="346"/>
      <c r="AM39" s="347"/>
      <c r="AN39" s="118"/>
      <c r="AO39" s="101" t="str">
        <f t="shared" si="19"/>
        <v/>
      </c>
      <c r="AP39" s="113" t="str">
        <f t="shared" si="20"/>
        <v>-</v>
      </c>
      <c r="AQ39" s="119"/>
      <c r="AR39" s="103" t="str">
        <f t="shared" si="21"/>
        <v/>
      </c>
      <c r="AT39" s="38" t="str">
        <f t="shared" si="27"/>
        <v>B</v>
      </c>
      <c r="AU39" s="38">
        <f t="shared" si="18"/>
        <v>0</v>
      </c>
      <c r="AY39" s="38" t="str">
        <f t="shared" si="1"/>
        <v/>
      </c>
      <c r="AZ39" s="38" t="str">
        <f t="shared" si="2"/>
        <v>0</v>
      </c>
      <c r="BA39" s="38" t="str">
        <f t="shared" si="3"/>
        <v>0</v>
      </c>
      <c r="BB39" s="38" t="str">
        <f t="shared" si="4"/>
        <v>0</v>
      </c>
      <c r="BC39" s="38">
        <f t="shared" si="5"/>
        <v>0</v>
      </c>
      <c r="BD39" s="38">
        <f t="shared" si="6"/>
        <v>0</v>
      </c>
      <c r="BL39" s="38" t="str">
        <f t="shared" si="7"/>
        <v/>
      </c>
      <c r="BM39" s="38" t="str">
        <f t="shared" si="8"/>
        <v/>
      </c>
      <c r="BN39" s="38" t="str">
        <f t="shared" si="9"/>
        <v/>
      </c>
      <c r="BO39" s="38" t="str">
        <f t="shared" si="10"/>
        <v/>
      </c>
      <c r="BP39" s="38" t="str">
        <f t="shared" si="11"/>
        <v/>
      </c>
      <c r="BQ39" s="38" t="str">
        <f t="shared" si="12"/>
        <v/>
      </c>
    </row>
    <row r="40" spans="1:69" ht="16.2" thickBot="1" x14ac:dyDescent="0.35">
      <c r="A40" s="71" t="s">
        <v>67</v>
      </c>
      <c r="B40" s="72"/>
      <c r="C40" s="72"/>
      <c r="D40" s="72"/>
      <c r="E40" s="72"/>
      <c r="F40" s="72"/>
      <c r="G40" s="72"/>
      <c r="H40" s="72"/>
      <c r="I40" s="399">
        <f>HLOOKUP(F25,spelerslijsten!B1:J25,25,FALSE)</f>
        <v>6</v>
      </c>
      <c r="J40" s="400"/>
      <c r="K40" s="74" t="s">
        <v>23</v>
      </c>
      <c r="L40" s="72"/>
      <c r="M40" s="72"/>
      <c r="N40" s="129" t="str">
        <f>HLOOKUP(F25,spelerslijsten!B1:J25,23,FALSE)</f>
        <v>Sol Geraedts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30"/>
      <c r="Z40" s="111"/>
      <c r="AA40" s="112"/>
      <c r="AB40" s="113" t="str">
        <f t="shared" si="16"/>
        <v>-</v>
      </c>
      <c r="AC40" s="112"/>
      <c r="AD40" s="114"/>
      <c r="AE40" s="115"/>
      <c r="AF40" s="115"/>
      <c r="AG40" s="116"/>
      <c r="AH40" s="117"/>
      <c r="AI40" s="117"/>
      <c r="AJ40" s="342"/>
      <c r="AK40" s="343"/>
      <c r="AL40" s="346"/>
      <c r="AM40" s="347"/>
      <c r="AN40" s="118"/>
      <c r="AO40" s="101" t="str">
        <f t="shared" si="19"/>
        <v/>
      </c>
      <c r="AP40" s="113" t="str">
        <f t="shared" si="20"/>
        <v>-</v>
      </c>
      <c r="AQ40" s="119"/>
      <c r="AR40" s="103" t="str">
        <f t="shared" si="21"/>
        <v/>
      </c>
      <c r="AY40" s="38" t="str">
        <f t="shared" si="1"/>
        <v/>
      </c>
      <c r="AZ40" s="38" t="str">
        <f t="shared" si="2"/>
        <v>0</v>
      </c>
      <c r="BA40" s="38" t="str">
        <f t="shared" si="3"/>
        <v>0</v>
      </c>
      <c r="BB40" s="38" t="str">
        <f t="shared" si="4"/>
        <v>0</v>
      </c>
      <c r="BC40" s="38">
        <f t="shared" si="5"/>
        <v>0</v>
      </c>
      <c r="BD40" s="38">
        <f t="shared" si="6"/>
        <v>0</v>
      </c>
      <c r="BL40" s="38" t="str">
        <f t="shared" si="7"/>
        <v/>
      </c>
      <c r="BM40" s="38" t="str">
        <f t="shared" si="8"/>
        <v/>
      </c>
      <c r="BN40" s="38" t="str">
        <f t="shared" si="9"/>
        <v/>
      </c>
      <c r="BO40" s="38" t="str">
        <f t="shared" si="10"/>
        <v/>
      </c>
      <c r="BP40" s="38" t="str">
        <f t="shared" si="11"/>
        <v/>
      </c>
      <c r="BQ40" s="38" t="str">
        <f t="shared" si="12"/>
        <v/>
      </c>
    </row>
    <row r="41" spans="1:69" ht="15.6" x14ac:dyDescent="0.3">
      <c r="A41" s="157" t="s">
        <v>68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158"/>
      <c r="Z41" s="111"/>
      <c r="AA41" s="112"/>
      <c r="AB41" s="113" t="str">
        <f t="shared" si="16"/>
        <v>-</v>
      </c>
      <c r="AC41" s="112"/>
      <c r="AD41" s="114"/>
      <c r="AE41" s="115"/>
      <c r="AF41" s="115"/>
      <c r="AG41" s="116"/>
      <c r="AH41" s="117"/>
      <c r="AI41" s="117"/>
      <c r="AJ41" s="342"/>
      <c r="AK41" s="343"/>
      <c r="AL41" s="346"/>
      <c r="AM41" s="347"/>
      <c r="AN41" s="118"/>
      <c r="AO41" s="101" t="str">
        <f t="shared" si="19"/>
        <v/>
      </c>
      <c r="AP41" s="113" t="str">
        <f t="shared" si="20"/>
        <v>-</v>
      </c>
      <c r="AQ41" s="119"/>
      <c r="AR41" s="103" t="str">
        <f t="shared" si="21"/>
        <v/>
      </c>
      <c r="AY41" s="38" t="str">
        <f t="shared" si="1"/>
        <v/>
      </c>
      <c r="AZ41" s="38" t="str">
        <f t="shared" si="2"/>
        <v>0</v>
      </c>
      <c r="BA41" s="38" t="str">
        <f t="shared" si="3"/>
        <v>0</v>
      </c>
      <c r="BB41" s="38" t="str">
        <f t="shared" si="4"/>
        <v>0</v>
      </c>
      <c r="BC41" s="38">
        <f t="shared" si="5"/>
        <v>0</v>
      </c>
      <c r="BD41" s="38">
        <f t="shared" si="6"/>
        <v>0</v>
      </c>
      <c r="BL41" s="38" t="str">
        <f t="shared" si="7"/>
        <v/>
      </c>
      <c r="BM41" s="38" t="str">
        <f t="shared" si="8"/>
        <v/>
      </c>
      <c r="BN41" s="38" t="str">
        <f t="shared" si="9"/>
        <v/>
      </c>
      <c r="BO41" s="38" t="str">
        <f t="shared" si="10"/>
        <v/>
      </c>
      <c r="BP41" s="38" t="str">
        <f t="shared" si="11"/>
        <v/>
      </c>
      <c r="BQ41" s="38" t="str">
        <f t="shared" si="12"/>
        <v/>
      </c>
    </row>
    <row r="42" spans="1:69" ht="15.6" x14ac:dyDescent="0.3">
      <c r="A42" s="15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60"/>
      <c r="Z42" s="111"/>
      <c r="AA42" s="112"/>
      <c r="AB42" s="113" t="str">
        <f t="shared" si="16"/>
        <v>-</v>
      </c>
      <c r="AC42" s="112"/>
      <c r="AD42" s="114"/>
      <c r="AE42" s="115"/>
      <c r="AF42" s="115"/>
      <c r="AG42" s="116"/>
      <c r="AH42" s="117"/>
      <c r="AI42" s="117"/>
      <c r="AJ42" s="342"/>
      <c r="AK42" s="343"/>
      <c r="AL42" s="346"/>
      <c r="AM42" s="347"/>
      <c r="AN42" s="118"/>
      <c r="AO42" s="101" t="str">
        <f t="shared" si="19"/>
        <v/>
      </c>
      <c r="AP42" s="113" t="str">
        <f t="shared" si="20"/>
        <v>-</v>
      </c>
      <c r="AQ42" s="119"/>
      <c r="AR42" s="103" t="str">
        <f t="shared" si="21"/>
        <v/>
      </c>
      <c r="AY42" s="38" t="str">
        <f t="shared" si="1"/>
        <v/>
      </c>
      <c r="AZ42" s="38" t="str">
        <f t="shared" si="2"/>
        <v>0</v>
      </c>
      <c r="BA42" s="38" t="str">
        <f t="shared" si="3"/>
        <v>0</v>
      </c>
      <c r="BB42" s="38" t="str">
        <f t="shared" si="4"/>
        <v>0</v>
      </c>
      <c r="BC42" s="38">
        <f t="shared" si="5"/>
        <v>0</v>
      </c>
      <c r="BD42" s="38">
        <f t="shared" si="6"/>
        <v>0</v>
      </c>
      <c r="BL42" s="38" t="str">
        <f t="shared" si="7"/>
        <v/>
      </c>
      <c r="BM42" s="38" t="str">
        <f t="shared" si="8"/>
        <v/>
      </c>
      <c r="BN42" s="38" t="str">
        <f t="shared" si="9"/>
        <v/>
      </c>
      <c r="BO42" s="38" t="str">
        <f t="shared" si="10"/>
        <v/>
      </c>
      <c r="BP42" s="38" t="str">
        <f t="shared" si="11"/>
        <v/>
      </c>
      <c r="BQ42" s="38" t="str">
        <f t="shared" si="12"/>
        <v/>
      </c>
    </row>
    <row r="43" spans="1:69" ht="15.6" x14ac:dyDescent="0.3">
      <c r="A43" s="16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62"/>
      <c r="Z43" s="111"/>
      <c r="AA43" s="112"/>
      <c r="AB43" s="113" t="str">
        <f t="shared" si="16"/>
        <v>-</v>
      </c>
      <c r="AC43" s="112"/>
      <c r="AD43" s="114"/>
      <c r="AE43" s="115"/>
      <c r="AF43" s="115"/>
      <c r="AG43" s="116"/>
      <c r="AH43" s="117"/>
      <c r="AI43" s="117"/>
      <c r="AJ43" s="342"/>
      <c r="AK43" s="343"/>
      <c r="AL43" s="346"/>
      <c r="AM43" s="347"/>
      <c r="AN43" s="118"/>
      <c r="AO43" s="101" t="str">
        <f t="shared" si="19"/>
        <v/>
      </c>
      <c r="AP43" s="113" t="str">
        <f t="shared" si="20"/>
        <v>-</v>
      </c>
      <c r="AQ43" s="119"/>
      <c r="AR43" s="103" t="str">
        <f t="shared" si="21"/>
        <v/>
      </c>
      <c r="AY43" s="38" t="str">
        <f t="shared" si="1"/>
        <v/>
      </c>
      <c r="AZ43" s="38" t="str">
        <f t="shared" si="2"/>
        <v>0</v>
      </c>
      <c r="BA43" s="38" t="str">
        <f t="shared" si="3"/>
        <v>0</v>
      </c>
      <c r="BB43" s="38" t="str">
        <f t="shared" si="4"/>
        <v>0</v>
      </c>
      <c r="BC43" s="38">
        <f t="shared" si="5"/>
        <v>0</v>
      </c>
      <c r="BD43" s="38">
        <f t="shared" si="6"/>
        <v>0</v>
      </c>
      <c r="BL43" s="38" t="str">
        <f t="shared" si="7"/>
        <v/>
      </c>
      <c r="BM43" s="38" t="str">
        <f t="shared" si="8"/>
        <v/>
      </c>
      <c r="BN43" s="38" t="str">
        <f t="shared" si="9"/>
        <v/>
      </c>
      <c r="BO43" s="38" t="str">
        <f t="shared" si="10"/>
        <v/>
      </c>
      <c r="BP43" s="38" t="str">
        <f t="shared" si="11"/>
        <v/>
      </c>
      <c r="BQ43" s="38" t="str">
        <f t="shared" si="12"/>
        <v/>
      </c>
    </row>
    <row r="44" spans="1:69" ht="15.6" x14ac:dyDescent="0.3">
      <c r="A44" s="16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62"/>
      <c r="Z44" s="111"/>
      <c r="AA44" s="112"/>
      <c r="AB44" s="113" t="str">
        <f t="shared" si="16"/>
        <v>-</v>
      </c>
      <c r="AC44" s="112"/>
      <c r="AD44" s="114"/>
      <c r="AE44" s="115"/>
      <c r="AF44" s="115"/>
      <c r="AG44" s="116"/>
      <c r="AH44" s="117"/>
      <c r="AI44" s="117"/>
      <c r="AJ44" s="342"/>
      <c r="AK44" s="343"/>
      <c r="AL44" s="346"/>
      <c r="AM44" s="347"/>
      <c r="AN44" s="118"/>
      <c r="AO44" s="101" t="str">
        <f t="shared" si="19"/>
        <v/>
      </c>
      <c r="AP44" s="113" t="str">
        <f t="shared" si="20"/>
        <v>-</v>
      </c>
      <c r="AQ44" s="119"/>
      <c r="AR44" s="103" t="str">
        <f t="shared" si="21"/>
        <v/>
      </c>
      <c r="AY44" s="38" t="str">
        <f t="shared" si="1"/>
        <v/>
      </c>
      <c r="AZ44" s="38" t="str">
        <f t="shared" si="2"/>
        <v>0</v>
      </c>
      <c r="BA44" s="38" t="str">
        <f t="shared" si="3"/>
        <v>0</v>
      </c>
      <c r="BB44" s="38" t="str">
        <f t="shared" si="4"/>
        <v>0</v>
      </c>
      <c r="BC44" s="38">
        <f t="shared" si="5"/>
        <v>0</v>
      </c>
      <c r="BD44" s="38">
        <f t="shared" si="6"/>
        <v>0</v>
      </c>
      <c r="BL44" s="38" t="str">
        <f t="shared" si="7"/>
        <v/>
      </c>
      <c r="BM44" s="38" t="str">
        <f t="shared" si="8"/>
        <v/>
      </c>
      <c r="BN44" s="38" t="str">
        <f t="shared" si="9"/>
        <v/>
      </c>
      <c r="BO44" s="38" t="str">
        <f t="shared" si="10"/>
        <v/>
      </c>
      <c r="BP44" s="38" t="str">
        <f t="shared" si="11"/>
        <v/>
      </c>
      <c r="BQ44" s="38" t="str">
        <f t="shared" si="12"/>
        <v/>
      </c>
    </row>
    <row r="45" spans="1:69" ht="15.6" x14ac:dyDescent="0.3">
      <c r="A45" s="16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62"/>
      <c r="Z45" s="111"/>
      <c r="AA45" s="112"/>
      <c r="AB45" s="113" t="str">
        <f>+AB44</f>
        <v>-</v>
      </c>
      <c r="AC45" s="112"/>
      <c r="AD45" s="114"/>
      <c r="AE45" s="115"/>
      <c r="AF45" s="115"/>
      <c r="AG45" s="116"/>
      <c r="AH45" s="117"/>
      <c r="AI45" s="117"/>
      <c r="AJ45" s="342"/>
      <c r="AK45" s="343"/>
      <c r="AL45" s="346"/>
      <c r="AM45" s="347"/>
      <c r="AN45" s="118"/>
      <c r="AO45" s="101" t="str">
        <f t="shared" si="19"/>
        <v/>
      </c>
      <c r="AP45" s="113" t="str">
        <f t="shared" si="20"/>
        <v>-</v>
      </c>
      <c r="AQ45" s="119"/>
      <c r="AR45" s="103" t="str">
        <f t="shared" si="21"/>
        <v/>
      </c>
      <c r="AY45" s="38" t="str">
        <f t="shared" si="1"/>
        <v/>
      </c>
      <c r="AZ45" s="38" t="str">
        <f t="shared" si="2"/>
        <v>0</v>
      </c>
      <c r="BA45" s="38" t="str">
        <f t="shared" si="3"/>
        <v>0</v>
      </c>
      <c r="BB45" s="38" t="str">
        <f t="shared" si="4"/>
        <v>0</v>
      </c>
      <c r="BC45" s="38">
        <f t="shared" si="5"/>
        <v>0</v>
      </c>
      <c r="BD45" s="38">
        <f t="shared" si="6"/>
        <v>0</v>
      </c>
      <c r="BL45" s="38" t="str">
        <f t="shared" si="7"/>
        <v/>
      </c>
      <c r="BM45" s="38" t="str">
        <f t="shared" si="8"/>
        <v/>
      </c>
      <c r="BN45" s="38" t="str">
        <f t="shared" si="9"/>
        <v/>
      </c>
      <c r="BO45" s="38" t="str">
        <f t="shared" si="10"/>
        <v/>
      </c>
      <c r="BP45" s="38" t="str">
        <f t="shared" si="11"/>
        <v/>
      </c>
      <c r="BQ45" s="38" t="str">
        <f t="shared" si="12"/>
        <v/>
      </c>
    </row>
    <row r="46" spans="1:69" ht="16.2" thickBot="1" x14ac:dyDescent="0.35">
      <c r="A46" s="163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64"/>
      <c r="Z46" s="165"/>
      <c r="AA46" s="166"/>
      <c r="AB46" s="167" t="str">
        <f>+AB45</f>
        <v>-</v>
      </c>
      <c r="AC46" s="166"/>
      <c r="AD46" s="168"/>
      <c r="AE46" s="169"/>
      <c r="AF46" s="169"/>
      <c r="AG46" s="170"/>
      <c r="AH46" s="171"/>
      <c r="AI46" s="171"/>
      <c r="AJ46" s="344"/>
      <c r="AK46" s="345"/>
      <c r="AL46" s="352"/>
      <c r="AM46" s="353"/>
      <c r="AN46" s="172"/>
      <c r="AO46" s="101" t="str">
        <f t="shared" si="19"/>
        <v/>
      </c>
      <c r="AP46" s="113" t="str">
        <f t="shared" si="20"/>
        <v>-</v>
      </c>
      <c r="AQ46" s="119"/>
      <c r="AR46" s="103" t="str">
        <f t="shared" si="21"/>
        <v/>
      </c>
      <c r="AY46" s="38" t="str">
        <f t="shared" si="1"/>
        <v/>
      </c>
      <c r="AZ46" s="38" t="str">
        <f t="shared" si="2"/>
        <v>0</v>
      </c>
      <c r="BA46" s="38" t="str">
        <f t="shared" si="3"/>
        <v>0</v>
      </c>
      <c r="BB46" s="38" t="str">
        <f t="shared" si="4"/>
        <v>0</v>
      </c>
      <c r="BC46" s="38">
        <f t="shared" si="5"/>
        <v>0</v>
      </c>
      <c r="BD46" s="38">
        <f t="shared" si="6"/>
        <v>0</v>
      </c>
      <c r="BL46" s="38" t="str">
        <f t="shared" si="7"/>
        <v/>
      </c>
      <c r="BM46" s="38" t="str">
        <f t="shared" si="8"/>
        <v/>
      </c>
      <c r="BN46" s="38" t="str">
        <f t="shared" si="9"/>
        <v/>
      </c>
      <c r="BO46" s="38" t="str">
        <f t="shared" si="10"/>
        <v/>
      </c>
      <c r="BP46" s="38" t="str">
        <f t="shared" si="11"/>
        <v/>
      </c>
      <c r="BQ46" s="38" t="str">
        <f t="shared" si="12"/>
        <v/>
      </c>
    </row>
    <row r="47" spans="1:69" ht="18.600000000000001" thickBot="1" x14ac:dyDescent="0.35">
      <c r="A47" s="173" t="s">
        <v>69</v>
      </c>
      <c r="B47" s="174"/>
      <c r="C47" s="174"/>
      <c r="D47" s="174"/>
      <c r="E47" s="174"/>
      <c r="F47" s="174"/>
      <c r="G47" s="174">
        <f>IF(AO52&gt;AR52,AO52,IF(AO52=AR52,AO52,AR52))</f>
        <v>11</v>
      </c>
      <c r="H47" s="175" t="s">
        <v>16</v>
      </c>
      <c r="I47" s="174">
        <f>IF(AO52&gt;AR52,AR52,IF(AO52=AR52,AR52,AO52))</f>
        <v>7</v>
      </c>
      <c r="J47" s="174"/>
      <c r="K47" s="174" t="s">
        <v>70</v>
      </c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6" t="str">
        <f>BE52</f>
        <v>WIT</v>
      </c>
      <c r="W47" s="174"/>
      <c r="X47" s="174"/>
      <c r="Y47" s="174"/>
      <c r="Z47" s="174"/>
      <c r="AA47" s="174"/>
      <c r="AB47" s="174"/>
      <c r="AC47" s="174"/>
      <c r="AD47" s="177"/>
      <c r="AE47" s="178" t="s">
        <v>71</v>
      </c>
      <c r="AF47" s="179"/>
      <c r="AG47" s="179"/>
      <c r="AH47" s="179"/>
      <c r="AI47" s="179"/>
      <c r="AJ47" s="174"/>
      <c r="AK47" s="174"/>
      <c r="AL47" s="403" t="s">
        <v>177</v>
      </c>
      <c r="AM47" s="404"/>
      <c r="AN47" s="404"/>
      <c r="AO47" s="404"/>
      <c r="AP47" s="404"/>
      <c r="AQ47" s="404"/>
      <c r="AR47" s="405"/>
    </row>
    <row r="48" spans="1:69" x14ac:dyDescent="0.3">
      <c r="A48" s="180" t="s">
        <v>72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2"/>
      <c r="P48" s="183" t="s">
        <v>72</v>
      </c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2"/>
      <c r="AC48" s="181"/>
      <c r="AD48" s="184"/>
      <c r="AE48" s="185" t="s">
        <v>72</v>
      </c>
      <c r="AF48" s="186"/>
      <c r="AG48" s="186"/>
      <c r="AH48" s="186"/>
      <c r="AI48" s="186"/>
      <c r="AJ48" s="181"/>
      <c r="AK48" s="181"/>
      <c r="AL48" s="181"/>
      <c r="AM48" s="181"/>
      <c r="AN48" s="181"/>
      <c r="AO48" s="186"/>
      <c r="AP48" s="181"/>
      <c r="AQ48" s="181"/>
      <c r="AR48" s="187"/>
    </row>
    <row r="49" spans="1:57" x14ac:dyDescent="0.3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/>
      <c r="P49" s="191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90"/>
      <c r="AC49" s="189"/>
      <c r="AD49" s="192"/>
      <c r="AE49" s="193"/>
      <c r="AF49" s="193"/>
      <c r="AG49" s="193"/>
      <c r="AH49" s="193"/>
      <c r="AI49" s="193"/>
      <c r="AJ49" s="189"/>
      <c r="AK49" s="189"/>
      <c r="AL49" s="189"/>
      <c r="AM49" s="189"/>
      <c r="AN49" s="189"/>
      <c r="AO49" s="193"/>
      <c r="AP49" s="189"/>
      <c r="AQ49" s="189"/>
      <c r="AR49" s="194"/>
    </row>
    <row r="50" spans="1:57" ht="14.4" thickBot="1" x14ac:dyDescent="0.3">
      <c r="A50" s="195" t="s">
        <v>73</v>
      </c>
      <c r="B50" s="196"/>
      <c r="C50" s="196"/>
      <c r="D50" s="196"/>
      <c r="E50" s="196"/>
      <c r="F50" s="196"/>
      <c r="G50" s="196"/>
      <c r="H50" s="197" t="s">
        <v>74</v>
      </c>
      <c r="I50" s="196"/>
      <c r="J50" s="196"/>
      <c r="K50" s="196"/>
      <c r="L50" s="196"/>
      <c r="M50" s="196"/>
      <c r="N50" s="196"/>
      <c r="O50" s="198"/>
      <c r="P50" s="199" t="s">
        <v>73</v>
      </c>
      <c r="Q50" s="196"/>
      <c r="R50" s="196"/>
      <c r="S50" s="196"/>
      <c r="T50" s="196"/>
      <c r="U50" s="196"/>
      <c r="V50" s="196"/>
      <c r="W50" s="197" t="s">
        <v>75</v>
      </c>
      <c r="X50" s="196"/>
      <c r="Y50" s="196"/>
      <c r="Z50" s="196"/>
      <c r="AA50" s="196"/>
      <c r="AB50" s="198"/>
      <c r="AC50" s="196"/>
      <c r="AD50" s="200"/>
      <c r="AE50" s="201" t="s">
        <v>25</v>
      </c>
      <c r="AF50" s="202"/>
      <c r="AG50" s="202"/>
      <c r="AH50" s="202"/>
      <c r="AI50" s="202"/>
      <c r="AJ50" s="203"/>
      <c r="AK50" s="203"/>
      <c r="AL50" s="203"/>
      <c r="AM50" s="203"/>
      <c r="AN50" s="203"/>
      <c r="AO50" s="202"/>
      <c r="AP50" s="203"/>
      <c r="AQ50" s="203"/>
      <c r="AR50" s="204"/>
    </row>
    <row r="52" spans="1:57" hidden="1" x14ac:dyDescent="0.3">
      <c r="AO52" s="40">
        <f>IF(AO13="","",MAX(AO13:AO46))</f>
        <v>11</v>
      </c>
      <c r="AR52" s="40">
        <f>IF(AR13="","",MAX(AR13:AR46))</f>
        <v>7</v>
      </c>
      <c r="AS52" s="38" t="str">
        <f>IF(AO13="","0","1")</f>
        <v>1</v>
      </c>
      <c r="BE52" s="38" t="str">
        <f>IF(AS52="0","WIT/BLAUW",IF(AO52&gt;AR52,"WIT",IF(AO52=AR52,"GELIJK","BLAUW")))</f>
        <v>WIT</v>
      </c>
    </row>
  </sheetData>
  <sheetProtection sheet="1" objects="1" scenarios="1"/>
  <mergeCells count="107">
    <mergeCell ref="B14:C14"/>
    <mergeCell ref="B15:C15"/>
    <mergeCell ref="B16:C16"/>
    <mergeCell ref="AJ17:AK17"/>
    <mergeCell ref="G4:I4"/>
    <mergeCell ref="K4:M4"/>
    <mergeCell ref="AH6:AR6"/>
    <mergeCell ref="F10:Y12"/>
    <mergeCell ref="Z10:AD12"/>
    <mergeCell ref="AJ10:AK12"/>
    <mergeCell ref="AL10:AM12"/>
    <mergeCell ref="AN10:AR11"/>
    <mergeCell ref="A11:D12"/>
    <mergeCell ref="AN12:AO12"/>
    <mergeCell ref="AQ12:AR12"/>
    <mergeCell ref="B30:C30"/>
    <mergeCell ref="B18:C18"/>
    <mergeCell ref="B19:C19"/>
    <mergeCell ref="B20:C20"/>
    <mergeCell ref="B21:C21"/>
    <mergeCell ref="B22:C22"/>
    <mergeCell ref="B23:C23"/>
    <mergeCell ref="AJ18:AK18"/>
    <mergeCell ref="AJ19:AK19"/>
    <mergeCell ref="AJ20:AK20"/>
    <mergeCell ref="AJ21:AK21"/>
    <mergeCell ref="AJ29:AK29"/>
    <mergeCell ref="AJ30:AK30"/>
    <mergeCell ref="B37:C37"/>
    <mergeCell ref="B38:C38"/>
    <mergeCell ref="B39:C39"/>
    <mergeCell ref="I40:J40"/>
    <mergeCell ref="B31:C31"/>
    <mergeCell ref="B32:C32"/>
    <mergeCell ref="B33:C33"/>
    <mergeCell ref="B34:C34"/>
    <mergeCell ref="B35:C35"/>
    <mergeCell ref="B36:C36"/>
    <mergeCell ref="AL26:AM26"/>
    <mergeCell ref="AL17:AM17"/>
    <mergeCell ref="AL18:AM18"/>
    <mergeCell ref="AL19:AM19"/>
    <mergeCell ref="AL20:AM20"/>
    <mergeCell ref="AL21:AM21"/>
    <mergeCell ref="D3:N3"/>
    <mergeCell ref="AL13:AM13"/>
    <mergeCell ref="AL14:AM14"/>
    <mergeCell ref="AL15:AM15"/>
    <mergeCell ref="AL16:AM16"/>
    <mergeCell ref="AJ13:AK13"/>
    <mergeCell ref="AJ14:AK14"/>
    <mergeCell ref="AJ15:AK15"/>
    <mergeCell ref="AJ16:AK16"/>
    <mergeCell ref="I24:J24"/>
    <mergeCell ref="F25:Y28"/>
    <mergeCell ref="A26:D28"/>
    <mergeCell ref="AL27:AM27"/>
    <mergeCell ref="AL28:AM28"/>
    <mergeCell ref="AJ27:AK27"/>
    <mergeCell ref="AJ28:AK28"/>
    <mergeCell ref="B17:C17"/>
    <mergeCell ref="D4:E4"/>
    <mergeCell ref="BF4:BI6"/>
    <mergeCell ref="AL47:AR47"/>
    <mergeCell ref="AL44:AM44"/>
    <mergeCell ref="AL45:AM45"/>
    <mergeCell ref="AL46:AM46"/>
    <mergeCell ref="AL39:AM39"/>
    <mergeCell ref="AL40:AM40"/>
    <mergeCell ref="AL41:AM41"/>
    <mergeCell ref="AL42:AM42"/>
    <mergeCell ref="AL43:AM43"/>
    <mergeCell ref="AL34:AM34"/>
    <mergeCell ref="AL35:AM35"/>
    <mergeCell ref="AL36:AM36"/>
    <mergeCell ref="AL37:AM37"/>
    <mergeCell ref="AL38:AM38"/>
    <mergeCell ref="AL29:AM29"/>
    <mergeCell ref="AL30:AM30"/>
    <mergeCell ref="AL31:AM31"/>
    <mergeCell ref="AL32:AM32"/>
    <mergeCell ref="AL33:AM33"/>
    <mergeCell ref="AL22:AM22"/>
    <mergeCell ref="AL23:AM23"/>
    <mergeCell ref="AL24:AM24"/>
    <mergeCell ref="AL25:AM25"/>
    <mergeCell ref="AJ31:AK31"/>
    <mergeCell ref="AJ32:AK32"/>
    <mergeCell ref="AJ33:AK33"/>
    <mergeCell ref="AJ22:AK22"/>
    <mergeCell ref="AJ23:AK23"/>
    <mergeCell ref="AJ24:AK24"/>
    <mergeCell ref="AJ25:AK25"/>
    <mergeCell ref="AJ26:AK26"/>
    <mergeCell ref="AJ44:AK44"/>
    <mergeCell ref="AJ45:AK45"/>
    <mergeCell ref="AJ46:AK46"/>
    <mergeCell ref="AJ39:AK39"/>
    <mergeCell ref="AJ40:AK40"/>
    <mergeCell ref="AJ41:AK41"/>
    <mergeCell ref="AJ42:AK42"/>
    <mergeCell ref="AJ43:AK43"/>
    <mergeCell ref="AJ34:AK34"/>
    <mergeCell ref="AJ35:AK35"/>
    <mergeCell ref="AJ36:AK36"/>
    <mergeCell ref="AJ37:AK37"/>
    <mergeCell ref="AJ38:AK38"/>
  </mergeCells>
  <dataValidations count="1">
    <dataValidation type="list" allowBlank="1" showInputMessage="1" showErrorMessage="1" sqref="AL47:AR47" xr:uid="{8F164E19-F011-42FC-AA67-4BBD6915015F}">
      <formula1>"JA/NEE,JA,NEE"</formula1>
    </dataValidation>
  </dataValidations>
  <hyperlinks>
    <hyperlink ref="BF4:BI6" location="Wedstrijden!A1" display="Wedstrijdschema" xr:uid="{19ECE7B7-4EF7-4D6F-8D10-CE25B0FE4DA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5"/>
  <dimension ref="A1:IV52"/>
  <sheetViews>
    <sheetView workbookViewId="0">
      <selection activeCell="BF4" sqref="BF4:BI6"/>
    </sheetView>
  </sheetViews>
  <sheetFormatPr defaultRowHeight="13.8" x14ac:dyDescent="0.3"/>
  <cols>
    <col min="1" max="6" width="2.33203125" style="38" customWidth="1"/>
    <col min="7" max="7" width="3.33203125" style="38" customWidth="1"/>
    <col min="8" max="8" width="2.33203125" style="38" customWidth="1"/>
    <col min="9" max="9" width="3.33203125" style="38" customWidth="1"/>
    <col min="10" max="25" width="2.33203125" style="38" customWidth="1"/>
    <col min="26" max="28" width="2.109375" style="38" customWidth="1"/>
    <col min="29" max="29" width="3" style="38" customWidth="1"/>
    <col min="30" max="30" width="2.109375" style="39" customWidth="1"/>
    <col min="31" max="35" width="2.33203125" style="40" customWidth="1"/>
    <col min="36" max="39" width="2.33203125" style="38" customWidth="1"/>
    <col min="40" max="40" width="2.109375" style="38" customWidth="1"/>
    <col min="41" max="41" width="3.33203125" style="40" customWidth="1"/>
    <col min="42" max="43" width="2.109375" style="38" customWidth="1"/>
    <col min="44" max="44" width="3.33203125" style="40" customWidth="1"/>
    <col min="45" max="45" width="9.109375" style="38"/>
    <col min="46" max="56" width="9.109375" style="38" hidden="1" customWidth="1"/>
    <col min="57" max="62" width="9.109375" style="38"/>
    <col min="63" max="69" width="0" style="38" hidden="1" customWidth="1"/>
    <col min="70" max="256" width="9.109375" style="38"/>
    <col min="257" max="281" width="2.33203125" style="38" customWidth="1"/>
    <col min="282" max="286" width="2.109375" style="38" customWidth="1"/>
    <col min="287" max="295" width="2.33203125" style="38" customWidth="1"/>
    <col min="296" max="300" width="2.109375" style="38" customWidth="1"/>
    <col min="301" max="512" width="9.109375" style="38"/>
    <col min="513" max="537" width="2.33203125" style="38" customWidth="1"/>
    <col min="538" max="542" width="2.109375" style="38" customWidth="1"/>
    <col min="543" max="551" width="2.33203125" style="38" customWidth="1"/>
    <col min="552" max="556" width="2.109375" style="38" customWidth="1"/>
    <col min="557" max="768" width="9.109375" style="38"/>
    <col min="769" max="793" width="2.33203125" style="38" customWidth="1"/>
    <col min="794" max="798" width="2.109375" style="38" customWidth="1"/>
    <col min="799" max="807" width="2.33203125" style="38" customWidth="1"/>
    <col min="808" max="812" width="2.109375" style="38" customWidth="1"/>
    <col min="813" max="1024" width="9.109375" style="38"/>
    <col min="1025" max="1049" width="2.33203125" style="38" customWidth="1"/>
    <col min="1050" max="1054" width="2.109375" style="38" customWidth="1"/>
    <col min="1055" max="1063" width="2.33203125" style="38" customWidth="1"/>
    <col min="1064" max="1068" width="2.109375" style="38" customWidth="1"/>
    <col min="1069" max="1280" width="9.109375" style="38"/>
    <col min="1281" max="1305" width="2.33203125" style="38" customWidth="1"/>
    <col min="1306" max="1310" width="2.109375" style="38" customWidth="1"/>
    <col min="1311" max="1319" width="2.33203125" style="38" customWidth="1"/>
    <col min="1320" max="1324" width="2.109375" style="38" customWidth="1"/>
    <col min="1325" max="1536" width="9.109375" style="38"/>
    <col min="1537" max="1561" width="2.33203125" style="38" customWidth="1"/>
    <col min="1562" max="1566" width="2.109375" style="38" customWidth="1"/>
    <col min="1567" max="1575" width="2.33203125" style="38" customWidth="1"/>
    <col min="1576" max="1580" width="2.109375" style="38" customWidth="1"/>
    <col min="1581" max="1792" width="9.109375" style="38"/>
    <col min="1793" max="1817" width="2.33203125" style="38" customWidth="1"/>
    <col min="1818" max="1822" width="2.109375" style="38" customWidth="1"/>
    <col min="1823" max="1831" width="2.33203125" style="38" customWidth="1"/>
    <col min="1832" max="1836" width="2.109375" style="38" customWidth="1"/>
    <col min="1837" max="2048" width="9.109375" style="38"/>
    <col min="2049" max="2073" width="2.33203125" style="38" customWidth="1"/>
    <col min="2074" max="2078" width="2.109375" style="38" customWidth="1"/>
    <col min="2079" max="2087" width="2.33203125" style="38" customWidth="1"/>
    <col min="2088" max="2092" width="2.109375" style="38" customWidth="1"/>
    <col min="2093" max="2304" width="9.109375" style="38"/>
    <col min="2305" max="2329" width="2.33203125" style="38" customWidth="1"/>
    <col min="2330" max="2334" width="2.109375" style="38" customWidth="1"/>
    <col min="2335" max="2343" width="2.33203125" style="38" customWidth="1"/>
    <col min="2344" max="2348" width="2.109375" style="38" customWidth="1"/>
    <col min="2349" max="2560" width="9.109375" style="38"/>
    <col min="2561" max="2585" width="2.33203125" style="38" customWidth="1"/>
    <col min="2586" max="2590" width="2.109375" style="38" customWidth="1"/>
    <col min="2591" max="2599" width="2.33203125" style="38" customWidth="1"/>
    <col min="2600" max="2604" width="2.109375" style="38" customWidth="1"/>
    <col min="2605" max="2816" width="9.109375" style="38"/>
    <col min="2817" max="2841" width="2.33203125" style="38" customWidth="1"/>
    <col min="2842" max="2846" width="2.109375" style="38" customWidth="1"/>
    <col min="2847" max="2855" width="2.33203125" style="38" customWidth="1"/>
    <col min="2856" max="2860" width="2.109375" style="38" customWidth="1"/>
    <col min="2861" max="3072" width="9.109375" style="38"/>
    <col min="3073" max="3097" width="2.33203125" style="38" customWidth="1"/>
    <col min="3098" max="3102" width="2.109375" style="38" customWidth="1"/>
    <col min="3103" max="3111" width="2.33203125" style="38" customWidth="1"/>
    <col min="3112" max="3116" width="2.109375" style="38" customWidth="1"/>
    <col min="3117" max="3328" width="9.109375" style="38"/>
    <col min="3329" max="3353" width="2.33203125" style="38" customWidth="1"/>
    <col min="3354" max="3358" width="2.109375" style="38" customWidth="1"/>
    <col min="3359" max="3367" width="2.33203125" style="38" customWidth="1"/>
    <col min="3368" max="3372" width="2.109375" style="38" customWidth="1"/>
    <col min="3373" max="3584" width="9.109375" style="38"/>
    <col min="3585" max="3609" width="2.33203125" style="38" customWidth="1"/>
    <col min="3610" max="3614" width="2.109375" style="38" customWidth="1"/>
    <col min="3615" max="3623" width="2.33203125" style="38" customWidth="1"/>
    <col min="3624" max="3628" width="2.109375" style="38" customWidth="1"/>
    <col min="3629" max="3840" width="9.109375" style="38"/>
    <col min="3841" max="3865" width="2.33203125" style="38" customWidth="1"/>
    <col min="3866" max="3870" width="2.109375" style="38" customWidth="1"/>
    <col min="3871" max="3879" width="2.33203125" style="38" customWidth="1"/>
    <col min="3880" max="3884" width="2.109375" style="38" customWidth="1"/>
    <col min="3885" max="4096" width="9.109375" style="38"/>
    <col min="4097" max="4121" width="2.33203125" style="38" customWidth="1"/>
    <col min="4122" max="4126" width="2.109375" style="38" customWidth="1"/>
    <col min="4127" max="4135" width="2.33203125" style="38" customWidth="1"/>
    <col min="4136" max="4140" width="2.109375" style="38" customWidth="1"/>
    <col min="4141" max="4352" width="9.109375" style="38"/>
    <col min="4353" max="4377" width="2.33203125" style="38" customWidth="1"/>
    <col min="4378" max="4382" width="2.109375" style="38" customWidth="1"/>
    <col min="4383" max="4391" width="2.33203125" style="38" customWidth="1"/>
    <col min="4392" max="4396" width="2.109375" style="38" customWidth="1"/>
    <col min="4397" max="4608" width="9.109375" style="38"/>
    <col min="4609" max="4633" width="2.33203125" style="38" customWidth="1"/>
    <col min="4634" max="4638" width="2.109375" style="38" customWidth="1"/>
    <col min="4639" max="4647" width="2.33203125" style="38" customWidth="1"/>
    <col min="4648" max="4652" width="2.109375" style="38" customWidth="1"/>
    <col min="4653" max="4864" width="9.109375" style="38"/>
    <col min="4865" max="4889" width="2.33203125" style="38" customWidth="1"/>
    <col min="4890" max="4894" width="2.109375" style="38" customWidth="1"/>
    <col min="4895" max="4903" width="2.33203125" style="38" customWidth="1"/>
    <col min="4904" max="4908" width="2.109375" style="38" customWidth="1"/>
    <col min="4909" max="5120" width="9.109375" style="38"/>
    <col min="5121" max="5145" width="2.33203125" style="38" customWidth="1"/>
    <col min="5146" max="5150" width="2.109375" style="38" customWidth="1"/>
    <col min="5151" max="5159" width="2.33203125" style="38" customWidth="1"/>
    <col min="5160" max="5164" width="2.109375" style="38" customWidth="1"/>
    <col min="5165" max="5376" width="9.109375" style="38"/>
    <col min="5377" max="5401" width="2.33203125" style="38" customWidth="1"/>
    <col min="5402" max="5406" width="2.109375" style="38" customWidth="1"/>
    <col min="5407" max="5415" width="2.33203125" style="38" customWidth="1"/>
    <col min="5416" max="5420" width="2.109375" style="38" customWidth="1"/>
    <col min="5421" max="5632" width="9.109375" style="38"/>
    <col min="5633" max="5657" width="2.33203125" style="38" customWidth="1"/>
    <col min="5658" max="5662" width="2.109375" style="38" customWidth="1"/>
    <col min="5663" max="5671" width="2.33203125" style="38" customWidth="1"/>
    <col min="5672" max="5676" width="2.109375" style="38" customWidth="1"/>
    <col min="5677" max="5888" width="9.109375" style="38"/>
    <col min="5889" max="5913" width="2.33203125" style="38" customWidth="1"/>
    <col min="5914" max="5918" width="2.109375" style="38" customWidth="1"/>
    <col min="5919" max="5927" width="2.33203125" style="38" customWidth="1"/>
    <col min="5928" max="5932" width="2.109375" style="38" customWidth="1"/>
    <col min="5933" max="6144" width="9.109375" style="38"/>
    <col min="6145" max="6169" width="2.33203125" style="38" customWidth="1"/>
    <col min="6170" max="6174" width="2.109375" style="38" customWidth="1"/>
    <col min="6175" max="6183" width="2.33203125" style="38" customWidth="1"/>
    <col min="6184" max="6188" width="2.109375" style="38" customWidth="1"/>
    <col min="6189" max="6400" width="9.109375" style="38"/>
    <col min="6401" max="6425" width="2.33203125" style="38" customWidth="1"/>
    <col min="6426" max="6430" width="2.109375" style="38" customWidth="1"/>
    <col min="6431" max="6439" width="2.33203125" style="38" customWidth="1"/>
    <col min="6440" max="6444" width="2.109375" style="38" customWidth="1"/>
    <col min="6445" max="6656" width="9.109375" style="38"/>
    <col min="6657" max="6681" width="2.33203125" style="38" customWidth="1"/>
    <col min="6682" max="6686" width="2.109375" style="38" customWidth="1"/>
    <col min="6687" max="6695" width="2.33203125" style="38" customWidth="1"/>
    <col min="6696" max="6700" width="2.109375" style="38" customWidth="1"/>
    <col min="6701" max="6912" width="9.109375" style="38"/>
    <col min="6913" max="6937" width="2.33203125" style="38" customWidth="1"/>
    <col min="6938" max="6942" width="2.109375" style="38" customWidth="1"/>
    <col min="6943" max="6951" width="2.33203125" style="38" customWidth="1"/>
    <col min="6952" max="6956" width="2.109375" style="38" customWidth="1"/>
    <col min="6957" max="7168" width="9.109375" style="38"/>
    <col min="7169" max="7193" width="2.33203125" style="38" customWidth="1"/>
    <col min="7194" max="7198" width="2.109375" style="38" customWidth="1"/>
    <col min="7199" max="7207" width="2.33203125" style="38" customWidth="1"/>
    <col min="7208" max="7212" width="2.109375" style="38" customWidth="1"/>
    <col min="7213" max="7424" width="9.109375" style="38"/>
    <col min="7425" max="7449" width="2.33203125" style="38" customWidth="1"/>
    <col min="7450" max="7454" width="2.109375" style="38" customWidth="1"/>
    <col min="7455" max="7463" width="2.33203125" style="38" customWidth="1"/>
    <col min="7464" max="7468" width="2.109375" style="38" customWidth="1"/>
    <col min="7469" max="7680" width="9.109375" style="38"/>
    <col min="7681" max="7705" width="2.33203125" style="38" customWidth="1"/>
    <col min="7706" max="7710" width="2.109375" style="38" customWidth="1"/>
    <col min="7711" max="7719" width="2.33203125" style="38" customWidth="1"/>
    <col min="7720" max="7724" width="2.109375" style="38" customWidth="1"/>
    <col min="7725" max="7936" width="9.109375" style="38"/>
    <col min="7937" max="7961" width="2.33203125" style="38" customWidth="1"/>
    <col min="7962" max="7966" width="2.109375" style="38" customWidth="1"/>
    <col min="7967" max="7975" width="2.33203125" style="38" customWidth="1"/>
    <col min="7976" max="7980" width="2.109375" style="38" customWidth="1"/>
    <col min="7981" max="8192" width="9.109375" style="38"/>
    <col min="8193" max="8217" width="2.33203125" style="38" customWidth="1"/>
    <col min="8218" max="8222" width="2.109375" style="38" customWidth="1"/>
    <col min="8223" max="8231" width="2.33203125" style="38" customWidth="1"/>
    <col min="8232" max="8236" width="2.109375" style="38" customWidth="1"/>
    <col min="8237" max="8448" width="9.109375" style="38"/>
    <col min="8449" max="8473" width="2.33203125" style="38" customWidth="1"/>
    <col min="8474" max="8478" width="2.109375" style="38" customWidth="1"/>
    <col min="8479" max="8487" width="2.33203125" style="38" customWidth="1"/>
    <col min="8488" max="8492" width="2.109375" style="38" customWidth="1"/>
    <col min="8493" max="8704" width="9.109375" style="38"/>
    <col min="8705" max="8729" width="2.33203125" style="38" customWidth="1"/>
    <col min="8730" max="8734" width="2.109375" style="38" customWidth="1"/>
    <col min="8735" max="8743" width="2.33203125" style="38" customWidth="1"/>
    <col min="8744" max="8748" width="2.109375" style="38" customWidth="1"/>
    <col min="8749" max="8960" width="9.109375" style="38"/>
    <col min="8961" max="8985" width="2.33203125" style="38" customWidth="1"/>
    <col min="8986" max="8990" width="2.109375" style="38" customWidth="1"/>
    <col min="8991" max="8999" width="2.33203125" style="38" customWidth="1"/>
    <col min="9000" max="9004" width="2.109375" style="38" customWidth="1"/>
    <col min="9005" max="9216" width="9.109375" style="38"/>
    <col min="9217" max="9241" width="2.33203125" style="38" customWidth="1"/>
    <col min="9242" max="9246" width="2.109375" style="38" customWidth="1"/>
    <col min="9247" max="9255" width="2.33203125" style="38" customWidth="1"/>
    <col min="9256" max="9260" width="2.109375" style="38" customWidth="1"/>
    <col min="9261" max="9472" width="9.109375" style="38"/>
    <col min="9473" max="9497" width="2.33203125" style="38" customWidth="1"/>
    <col min="9498" max="9502" width="2.109375" style="38" customWidth="1"/>
    <col min="9503" max="9511" width="2.33203125" style="38" customWidth="1"/>
    <col min="9512" max="9516" width="2.109375" style="38" customWidth="1"/>
    <col min="9517" max="9728" width="9.109375" style="38"/>
    <col min="9729" max="9753" width="2.33203125" style="38" customWidth="1"/>
    <col min="9754" max="9758" width="2.109375" style="38" customWidth="1"/>
    <col min="9759" max="9767" width="2.33203125" style="38" customWidth="1"/>
    <col min="9768" max="9772" width="2.109375" style="38" customWidth="1"/>
    <col min="9773" max="9984" width="9.109375" style="38"/>
    <col min="9985" max="10009" width="2.33203125" style="38" customWidth="1"/>
    <col min="10010" max="10014" width="2.109375" style="38" customWidth="1"/>
    <col min="10015" max="10023" width="2.33203125" style="38" customWidth="1"/>
    <col min="10024" max="10028" width="2.109375" style="38" customWidth="1"/>
    <col min="10029" max="10240" width="9.109375" style="38"/>
    <col min="10241" max="10265" width="2.33203125" style="38" customWidth="1"/>
    <col min="10266" max="10270" width="2.109375" style="38" customWidth="1"/>
    <col min="10271" max="10279" width="2.33203125" style="38" customWidth="1"/>
    <col min="10280" max="10284" width="2.109375" style="38" customWidth="1"/>
    <col min="10285" max="10496" width="9.109375" style="38"/>
    <col min="10497" max="10521" width="2.33203125" style="38" customWidth="1"/>
    <col min="10522" max="10526" width="2.109375" style="38" customWidth="1"/>
    <col min="10527" max="10535" width="2.33203125" style="38" customWidth="1"/>
    <col min="10536" max="10540" width="2.109375" style="38" customWidth="1"/>
    <col min="10541" max="10752" width="9.109375" style="38"/>
    <col min="10753" max="10777" width="2.33203125" style="38" customWidth="1"/>
    <col min="10778" max="10782" width="2.109375" style="38" customWidth="1"/>
    <col min="10783" max="10791" width="2.33203125" style="38" customWidth="1"/>
    <col min="10792" max="10796" width="2.109375" style="38" customWidth="1"/>
    <col min="10797" max="11008" width="9.109375" style="38"/>
    <col min="11009" max="11033" width="2.33203125" style="38" customWidth="1"/>
    <col min="11034" max="11038" width="2.109375" style="38" customWidth="1"/>
    <col min="11039" max="11047" width="2.33203125" style="38" customWidth="1"/>
    <col min="11048" max="11052" width="2.109375" style="38" customWidth="1"/>
    <col min="11053" max="11264" width="9.109375" style="38"/>
    <col min="11265" max="11289" width="2.33203125" style="38" customWidth="1"/>
    <col min="11290" max="11294" width="2.109375" style="38" customWidth="1"/>
    <col min="11295" max="11303" width="2.33203125" style="38" customWidth="1"/>
    <col min="11304" max="11308" width="2.109375" style="38" customWidth="1"/>
    <col min="11309" max="11520" width="9.109375" style="38"/>
    <col min="11521" max="11545" width="2.33203125" style="38" customWidth="1"/>
    <col min="11546" max="11550" width="2.109375" style="38" customWidth="1"/>
    <col min="11551" max="11559" width="2.33203125" style="38" customWidth="1"/>
    <col min="11560" max="11564" width="2.109375" style="38" customWidth="1"/>
    <col min="11565" max="11776" width="9.109375" style="38"/>
    <col min="11777" max="11801" width="2.33203125" style="38" customWidth="1"/>
    <col min="11802" max="11806" width="2.109375" style="38" customWidth="1"/>
    <col min="11807" max="11815" width="2.33203125" style="38" customWidth="1"/>
    <col min="11816" max="11820" width="2.109375" style="38" customWidth="1"/>
    <col min="11821" max="12032" width="9.109375" style="38"/>
    <col min="12033" max="12057" width="2.33203125" style="38" customWidth="1"/>
    <col min="12058" max="12062" width="2.109375" style="38" customWidth="1"/>
    <col min="12063" max="12071" width="2.33203125" style="38" customWidth="1"/>
    <col min="12072" max="12076" width="2.109375" style="38" customWidth="1"/>
    <col min="12077" max="12288" width="9.109375" style="38"/>
    <col min="12289" max="12313" width="2.33203125" style="38" customWidth="1"/>
    <col min="12314" max="12318" width="2.109375" style="38" customWidth="1"/>
    <col min="12319" max="12327" width="2.33203125" style="38" customWidth="1"/>
    <col min="12328" max="12332" width="2.109375" style="38" customWidth="1"/>
    <col min="12333" max="12544" width="9.109375" style="38"/>
    <col min="12545" max="12569" width="2.33203125" style="38" customWidth="1"/>
    <col min="12570" max="12574" width="2.109375" style="38" customWidth="1"/>
    <col min="12575" max="12583" width="2.33203125" style="38" customWidth="1"/>
    <col min="12584" max="12588" width="2.109375" style="38" customWidth="1"/>
    <col min="12589" max="12800" width="9.109375" style="38"/>
    <col min="12801" max="12825" width="2.33203125" style="38" customWidth="1"/>
    <col min="12826" max="12830" width="2.109375" style="38" customWidth="1"/>
    <col min="12831" max="12839" width="2.33203125" style="38" customWidth="1"/>
    <col min="12840" max="12844" width="2.109375" style="38" customWidth="1"/>
    <col min="12845" max="13056" width="9.109375" style="38"/>
    <col min="13057" max="13081" width="2.33203125" style="38" customWidth="1"/>
    <col min="13082" max="13086" width="2.109375" style="38" customWidth="1"/>
    <col min="13087" max="13095" width="2.33203125" style="38" customWidth="1"/>
    <col min="13096" max="13100" width="2.109375" style="38" customWidth="1"/>
    <col min="13101" max="13312" width="9.109375" style="38"/>
    <col min="13313" max="13337" width="2.33203125" style="38" customWidth="1"/>
    <col min="13338" max="13342" width="2.109375" style="38" customWidth="1"/>
    <col min="13343" max="13351" width="2.33203125" style="38" customWidth="1"/>
    <col min="13352" max="13356" width="2.109375" style="38" customWidth="1"/>
    <col min="13357" max="13568" width="9.109375" style="38"/>
    <col min="13569" max="13593" width="2.33203125" style="38" customWidth="1"/>
    <col min="13594" max="13598" width="2.109375" style="38" customWidth="1"/>
    <col min="13599" max="13607" width="2.33203125" style="38" customWidth="1"/>
    <col min="13608" max="13612" width="2.109375" style="38" customWidth="1"/>
    <col min="13613" max="13824" width="9.109375" style="38"/>
    <col min="13825" max="13849" width="2.33203125" style="38" customWidth="1"/>
    <col min="13850" max="13854" width="2.109375" style="38" customWidth="1"/>
    <col min="13855" max="13863" width="2.33203125" style="38" customWidth="1"/>
    <col min="13864" max="13868" width="2.109375" style="38" customWidth="1"/>
    <col min="13869" max="14080" width="9.109375" style="38"/>
    <col min="14081" max="14105" width="2.33203125" style="38" customWidth="1"/>
    <col min="14106" max="14110" width="2.109375" style="38" customWidth="1"/>
    <col min="14111" max="14119" width="2.33203125" style="38" customWidth="1"/>
    <col min="14120" max="14124" width="2.109375" style="38" customWidth="1"/>
    <col min="14125" max="14336" width="9.109375" style="38"/>
    <col min="14337" max="14361" width="2.33203125" style="38" customWidth="1"/>
    <col min="14362" max="14366" width="2.109375" style="38" customWidth="1"/>
    <col min="14367" max="14375" width="2.33203125" style="38" customWidth="1"/>
    <col min="14376" max="14380" width="2.109375" style="38" customWidth="1"/>
    <col min="14381" max="14592" width="9.109375" style="38"/>
    <col min="14593" max="14617" width="2.33203125" style="38" customWidth="1"/>
    <col min="14618" max="14622" width="2.109375" style="38" customWidth="1"/>
    <col min="14623" max="14631" width="2.33203125" style="38" customWidth="1"/>
    <col min="14632" max="14636" width="2.109375" style="38" customWidth="1"/>
    <col min="14637" max="14848" width="9.109375" style="38"/>
    <col min="14849" max="14873" width="2.33203125" style="38" customWidth="1"/>
    <col min="14874" max="14878" width="2.109375" style="38" customWidth="1"/>
    <col min="14879" max="14887" width="2.33203125" style="38" customWidth="1"/>
    <col min="14888" max="14892" width="2.109375" style="38" customWidth="1"/>
    <col min="14893" max="15104" width="9.109375" style="38"/>
    <col min="15105" max="15129" width="2.33203125" style="38" customWidth="1"/>
    <col min="15130" max="15134" width="2.109375" style="38" customWidth="1"/>
    <col min="15135" max="15143" width="2.33203125" style="38" customWidth="1"/>
    <col min="15144" max="15148" width="2.109375" style="38" customWidth="1"/>
    <col min="15149" max="15360" width="9.109375" style="38"/>
    <col min="15361" max="15385" width="2.33203125" style="38" customWidth="1"/>
    <col min="15386" max="15390" width="2.109375" style="38" customWidth="1"/>
    <col min="15391" max="15399" width="2.33203125" style="38" customWidth="1"/>
    <col min="15400" max="15404" width="2.109375" style="38" customWidth="1"/>
    <col min="15405" max="15616" width="9.109375" style="38"/>
    <col min="15617" max="15641" width="2.33203125" style="38" customWidth="1"/>
    <col min="15642" max="15646" width="2.109375" style="38" customWidth="1"/>
    <col min="15647" max="15655" width="2.33203125" style="38" customWidth="1"/>
    <col min="15656" max="15660" width="2.109375" style="38" customWidth="1"/>
    <col min="15661" max="15872" width="9.109375" style="38"/>
    <col min="15873" max="15897" width="2.33203125" style="38" customWidth="1"/>
    <col min="15898" max="15902" width="2.109375" style="38" customWidth="1"/>
    <col min="15903" max="15911" width="2.33203125" style="38" customWidth="1"/>
    <col min="15912" max="15916" width="2.109375" style="38" customWidth="1"/>
    <col min="15917" max="16128" width="9.109375" style="38"/>
    <col min="16129" max="16153" width="2.33203125" style="38" customWidth="1"/>
    <col min="16154" max="16158" width="2.109375" style="38" customWidth="1"/>
    <col min="16159" max="16167" width="2.33203125" style="38" customWidth="1"/>
    <col min="16168" max="16172" width="2.109375" style="38" customWidth="1"/>
    <col min="16173" max="16384" width="9.109375" style="38"/>
  </cols>
  <sheetData>
    <row r="1" spans="1:256" ht="20.399999999999999" x14ac:dyDescent="0.3">
      <c r="A1" s="37" t="s">
        <v>40</v>
      </c>
      <c r="AO1" s="41">
        <v>0</v>
      </c>
      <c r="AP1" s="42"/>
      <c r="AQ1" s="42"/>
      <c r="AR1" s="41">
        <v>0</v>
      </c>
      <c r="AV1" s="43">
        <v>1.3888888888888888E-2</v>
      </c>
    </row>
    <row r="2" spans="1:256" x14ac:dyDescent="0.3">
      <c r="A2" s="38" t="s">
        <v>42</v>
      </c>
      <c r="E2" s="38" t="s">
        <v>76</v>
      </c>
      <c r="P2" s="44" t="s">
        <v>22</v>
      </c>
      <c r="Q2" s="45"/>
      <c r="R2" s="45"/>
      <c r="S2" s="45"/>
      <c r="T2" s="45"/>
      <c r="U2" s="45"/>
      <c r="V2" s="45"/>
      <c r="W2" s="45" t="s">
        <v>3</v>
      </c>
      <c r="X2" s="45"/>
      <c r="Y2" s="46" t="s">
        <v>41</v>
      </c>
      <c r="Z2" s="45"/>
      <c r="AA2" s="45"/>
      <c r="AB2" s="45"/>
      <c r="AC2" s="45"/>
      <c r="AD2" s="47"/>
      <c r="AE2" s="48"/>
      <c r="AF2" s="48"/>
      <c r="AG2" s="49"/>
    </row>
    <row r="3" spans="1:256" ht="15" thickBot="1" x14ac:dyDescent="0.35">
      <c r="A3" s="38" t="s">
        <v>19</v>
      </c>
      <c r="D3" s="415">
        <f>Wedstrijden!I2</f>
        <v>45732</v>
      </c>
      <c r="E3" s="416"/>
      <c r="F3" s="416"/>
      <c r="G3" s="416"/>
      <c r="H3" s="416"/>
      <c r="I3" s="416"/>
      <c r="J3" s="416"/>
      <c r="K3" s="416"/>
      <c r="L3" s="416"/>
      <c r="M3" s="416"/>
      <c r="N3" s="417"/>
      <c r="P3" s="50" t="s">
        <v>18</v>
      </c>
      <c r="Q3" s="51" t="s">
        <v>43</v>
      </c>
      <c r="W3" s="38" t="s">
        <v>0</v>
      </c>
      <c r="Y3" s="51" t="s">
        <v>44</v>
      </c>
      <c r="AG3" s="52"/>
    </row>
    <row r="4" spans="1:256" x14ac:dyDescent="0.3">
      <c r="A4" s="38" t="s">
        <v>20</v>
      </c>
      <c r="D4" s="418">
        <v>14</v>
      </c>
      <c r="E4" s="418"/>
      <c r="F4" s="53"/>
      <c r="G4" s="419">
        <f>VLOOKUP(D4,Wedstrijden!A6:B57,2,0)</f>
        <v>0.64583333333333337</v>
      </c>
      <c r="H4" s="419"/>
      <c r="I4" s="419"/>
      <c r="J4" s="54" t="s">
        <v>16</v>
      </c>
      <c r="K4" s="419">
        <f>G4+AV1</f>
        <v>0.65972222222222221</v>
      </c>
      <c r="L4" s="419"/>
      <c r="M4" s="419"/>
      <c r="N4" s="53"/>
      <c r="P4" s="50" t="s">
        <v>17</v>
      </c>
      <c r="Q4" s="51" t="s">
        <v>45</v>
      </c>
      <c r="W4" s="38" t="s">
        <v>9</v>
      </c>
      <c r="Y4" s="51" t="s">
        <v>46</v>
      </c>
      <c r="AG4" s="52"/>
      <c r="BF4" s="406" t="s">
        <v>102</v>
      </c>
      <c r="BG4" s="407"/>
      <c r="BH4" s="407"/>
      <c r="BI4" s="408"/>
    </row>
    <row r="5" spans="1:256" x14ac:dyDescent="0.3">
      <c r="A5" s="38" t="s">
        <v>164</v>
      </c>
      <c r="D5" s="260" t="str">
        <f>VLOOKUP(D4,Wedstrijden!A6:D20,4,0)</f>
        <v>B</v>
      </c>
      <c r="P5" s="50" t="s">
        <v>10</v>
      </c>
      <c r="Q5" s="51" t="s">
        <v>47</v>
      </c>
      <c r="W5" s="38" t="s">
        <v>12</v>
      </c>
      <c r="Y5" s="51" t="s">
        <v>48</v>
      </c>
      <c r="AG5" s="52"/>
      <c r="BF5" s="409"/>
      <c r="BG5" s="410"/>
      <c r="BH5" s="410"/>
      <c r="BI5" s="411"/>
    </row>
    <row r="6" spans="1:256" ht="14.4" thickBot="1" x14ac:dyDescent="0.2">
      <c r="A6" s="38" t="s">
        <v>21</v>
      </c>
      <c r="D6" s="55" t="str">
        <f>Wedstrijden!K2</f>
        <v>Den Bosch</v>
      </c>
      <c r="P6" s="50" t="s">
        <v>11</v>
      </c>
      <c r="Q6" s="51" t="s">
        <v>49</v>
      </c>
      <c r="W6" s="38" t="s">
        <v>13</v>
      </c>
      <c r="Y6" s="51" t="s">
        <v>50</v>
      </c>
      <c r="AG6" s="52"/>
      <c r="AH6" s="354" t="s">
        <v>51</v>
      </c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BF6" s="412"/>
      <c r="BG6" s="413"/>
      <c r="BH6" s="413"/>
      <c r="BI6" s="414"/>
    </row>
    <row r="7" spans="1:256" x14ac:dyDescent="0.2">
      <c r="A7" s="56" t="s">
        <v>52</v>
      </c>
      <c r="B7" s="57"/>
      <c r="C7" s="57"/>
      <c r="D7" s="57"/>
      <c r="E7" s="58" t="s">
        <v>53</v>
      </c>
      <c r="F7" s="57"/>
      <c r="G7" s="59" t="str">
        <f>VLOOKUP(D4,Wedstrijden!A6:L57,5,0)</f>
        <v>De Tubanten 2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 t="s">
        <v>54</v>
      </c>
      <c r="X7" s="57"/>
      <c r="Y7" s="57"/>
      <c r="Z7" s="58" t="s">
        <v>55</v>
      </c>
      <c r="AA7" s="58"/>
      <c r="AB7" s="57"/>
      <c r="AC7" s="59" t="str">
        <f>VLOOKUP(D4,Wedstrijden!A6:L57,9,0)</f>
        <v>Gesposs Blauw</v>
      </c>
      <c r="AD7" s="60"/>
      <c r="AE7" s="61"/>
      <c r="AF7" s="61"/>
      <c r="AG7" s="61"/>
      <c r="AH7" s="61"/>
      <c r="AI7" s="61"/>
      <c r="AJ7" s="57"/>
      <c r="AK7" s="57"/>
      <c r="AL7" s="57"/>
      <c r="AM7" s="57"/>
      <c r="AN7" s="57"/>
      <c r="AO7" s="61"/>
      <c r="AP7" s="57"/>
      <c r="AQ7" s="57"/>
      <c r="AR7" s="62"/>
    </row>
    <row r="8" spans="1:256" x14ac:dyDescent="0.3">
      <c r="A8" s="63" t="s">
        <v>56</v>
      </c>
      <c r="B8" s="64"/>
      <c r="C8" s="64"/>
      <c r="D8" s="64"/>
      <c r="E8" s="64"/>
      <c r="F8" s="64"/>
      <c r="G8" s="64"/>
      <c r="H8" s="64"/>
      <c r="I8" s="64"/>
      <c r="J8" s="65" t="str">
        <f>VLOOKUP(D4,Wedstrijden!A6:P343,13,0)</f>
        <v>Gea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 t="s">
        <v>57</v>
      </c>
      <c r="X8" s="64"/>
      <c r="Y8" s="64"/>
      <c r="Z8" s="66" t="str">
        <f>VLOOKUP(D4,Wedstrijden!A6:N170,14,0)</f>
        <v>Dolf</v>
      </c>
      <c r="AA8" s="64"/>
      <c r="AB8" s="64"/>
      <c r="AC8" s="64"/>
      <c r="AD8" s="67"/>
      <c r="AE8" s="68"/>
      <c r="AF8" s="68"/>
      <c r="AG8" s="68"/>
      <c r="AH8" s="68"/>
      <c r="AI8" s="68"/>
      <c r="AJ8" s="69" t="s">
        <v>17</v>
      </c>
      <c r="AK8" s="64"/>
      <c r="AL8" s="64"/>
      <c r="AM8" s="64"/>
      <c r="AN8" s="64"/>
      <c r="AO8" s="68"/>
      <c r="AP8" s="64"/>
      <c r="AQ8" s="64"/>
      <c r="AR8" s="70"/>
    </row>
    <row r="9" spans="1:256" ht="14.4" thickBot="1" x14ac:dyDescent="0.35">
      <c r="A9" s="71" t="s">
        <v>58</v>
      </c>
      <c r="B9" s="72"/>
      <c r="C9" s="72"/>
      <c r="D9" s="72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 t="s">
        <v>59</v>
      </c>
      <c r="X9" s="72"/>
      <c r="Y9" s="72"/>
      <c r="Z9" s="72"/>
      <c r="AA9" s="72"/>
      <c r="AB9" s="73"/>
      <c r="AC9" s="73"/>
      <c r="AD9" s="75"/>
      <c r="AE9" s="76"/>
      <c r="AF9" s="76"/>
      <c r="AG9" s="76"/>
      <c r="AH9" s="76"/>
      <c r="AI9" s="76"/>
      <c r="AJ9" s="73"/>
      <c r="AK9" s="73"/>
      <c r="AL9" s="73"/>
      <c r="AM9" s="73"/>
      <c r="AN9" s="73"/>
      <c r="AO9" s="76"/>
      <c r="AP9" s="73"/>
      <c r="AQ9" s="73"/>
      <c r="AR9" s="77"/>
    </row>
    <row r="10" spans="1:256" ht="15" x14ac:dyDescent="0.3">
      <c r="A10" s="78" t="s">
        <v>60</v>
      </c>
      <c r="B10" s="79"/>
      <c r="C10" s="79"/>
      <c r="D10" s="79"/>
      <c r="E10" s="79"/>
      <c r="F10" s="356" t="str">
        <f>+G7</f>
        <v>De Tubanten 2</v>
      </c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7"/>
      <c r="Z10" s="362" t="s">
        <v>8</v>
      </c>
      <c r="AA10" s="363"/>
      <c r="AB10" s="363"/>
      <c r="AC10" s="363"/>
      <c r="AD10" s="364"/>
      <c r="AE10" s="80"/>
      <c r="AF10" s="80"/>
      <c r="AG10" s="80"/>
      <c r="AH10" s="80" t="s">
        <v>61</v>
      </c>
      <c r="AI10" s="80" t="s">
        <v>61</v>
      </c>
      <c r="AJ10" s="371" t="s">
        <v>14</v>
      </c>
      <c r="AK10" s="372"/>
      <c r="AL10" s="377" t="s">
        <v>62</v>
      </c>
      <c r="AM10" s="378"/>
      <c r="AN10" s="383" t="s">
        <v>15</v>
      </c>
      <c r="AO10" s="384"/>
      <c r="AP10" s="384"/>
      <c r="AQ10" s="384"/>
      <c r="AR10" s="385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2" t="s">
        <v>136</v>
      </c>
      <c r="BL10" s="82" t="str">
        <f>CONCATENATE($BL$12&amp;BK10&amp;"x")</f>
        <v>swwx</v>
      </c>
      <c r="BM10" s="82" t="str">
        <f>CONCATENATE($BM$12&amp;BK10&amp;"x")</f>
        <v>dwx</v>
      </c>
      <c r="BN10" s="82" t="str">
        <f>CONCATENATE($BN$12&amp;BK10&amp;"x")</f>
        <v>pwx</v>
      </c>
      <c r="BO10" s="82" t="str">
        <f>CONCATENATE($BO$12&amp;BK10&amp;"x")</f>
        <v>umvwx</v>
      </c>
      <c r="BP10" s="82" t="str">
        <f>CONCATENATE($BP$12&amp;BK10&amp;"x")</f>
        <v>uzvwx</v>
      </c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1" spans="1:256" x14ac:dyDescent="0.3">
      <c r="A11" s="393" t="s">
        <v>7</v>
      </c>
      <c r="B11" s="394"/>
      <c r="C11" s="394"/>
      <c r="D11" s="394"/>
      <c r="E11" s="81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  <c r="Z11" s="365"/>
      <c r="AA11" s="366"/>
      <c r="AB11" s="366"/>
      <c r="AC11" s="366"/>
      <c r="AD11" s="367"/>
      <c r="AE11" s="83" t="s">
        <v>63</v>
      </c>
      <c r="AF11" s="83"/>
      <c r="AG11" s="83"/>
      <c r="AH11" s="83" t="s">
        <v>64</v>
      </c>
      <c r="AI11" s="83" t="s">
        <v>65</v>
      </c>
      <c r="AJ11" s="373"/>
      <c r="AK11" s="374"/>
      <c r="AL11" s="379"/>
      <c r="AM11" s="380"/>
      <c r="AN11" s="386"/>
      <c r="AO11" s="387"/>
      <c r="AP11" s="387"/>
      <c r="AQ11" s="387"/>
      <c r="AR11" s="388"/>
      <c r="AS11" s="81"/>
      <c r="AT11" s="81"/>
      <c r="AU11" s="81" t="s">
        <v>17</v>
      </c>
      <c r="AV11" s="81" t="s">
        <v>18</v>
      </c>
      <c r="AW11" s="81" t="s">
        <v>77</v>
      </c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2" t="s">
        <v>142</v>
      </c>
      <c r="BL11" s="82" t="str">
        <f>CONCATENATE($BL$12&amp;BK11&amp;"x")</f>
        <v>swbx</v>
      </c>
      <c r="BM11" s="82" t="str">
        <f>CONCATENATE($BM$12&amp;BK11&amp;"x")</f>
        <v>dbx</v>
      </c>
      <c r="BN11" s="82" t="str">
        <f>CONCATENATE($BN$12&amp;BK11&amp;"x")</f>
        <v>pbx</v>
      </c>
      <c r="BO11" s="82" t="str">
        <f>CONCATENATE($BO$12&amp;BK11&amp;"x")</f>
        <v>umvbx</v>
      </c>
      <c r="BP11" s="82" t="str">
        <f>CONCATENATE($BP$12&amp;BK11&amp;"x")</f>
        <v>uzvbx</v>
      </c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</row>
    <row r="12" spans="1:256" ht="18" x14ac:dyDescent="0.35">
      <c r="A12" s="395"/>
      <c r="B12" s="396"/>
      <c r="C12" s="396"/>
      <c r="D12" s="394"/>
      <c r="E12" s="81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1"/>
      <c r="Z12" s="368"/>
      <c r="AA12" s="369"/>
      <c r="AB12" s="369"/>
      <c r="AC12" s="369"/>
      <c r="AD12" s="370"/>
      <c r="AE12" s="84" t="s">
        <v>17</v>
      </c>
      <c r="AF12" s="84" t="s">
        <v>10</v>
      </c>
      <c r="AG12" s="84" t="s">
        <v>11</v>
      </c>
      <c r="AH12" s="84" t="s">
        <v>66</v>
      </c>
      <c r="AI12" s="84" t="s">
        <v>66</v>
      </c>
      <c r="AJ12" s="375"/>
      <c r="AK12" s="376"/>
      <c r="AL12" s="381"/>
      <c r="AM12" s="382"/>
      <c r="AN12" s="389" t="s">
        <v>17</v>
      </c>
      <c r="AO12" s="369"/>
      <c r="AP12" s="85"/>
      <c r="AQ12" s="369" t="s">
        <v>18</v>
      </c>
      <c r="AR12" s="390"/>
      <c r="AS12" s="81"/>
      <c r="AT12" s="81"/>
      <c r="AU12" s="81" t="s">
        <v>78</v>
      </c>
      <c r="AV12" s="81" t="s">
        <v>79</v>
      </c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 t="s">
        <v>138</v>
      </c>
      <c r="BM12" s="81" t="s">
        <v>139</v>
      </c>
      <c r="BN12" s="81" t="s">
        <v>79</v>
      </c>
      <c r="BO12" s="81" t="s">
        <v>140</v>
      </c>
      <c r="BP12" s="81" t="s">
        <v>141</v>
      </c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</row>
    <row r="13" spans="1:256" ht="15.6" x14ac:dyDescent="0.3">
      <c r="A13" s="86" t="s">
        <v>0</v>
      </c>
      <c r="B13" s="87" t="s">
        <v>1</v>
      </c>
      <c r="C13" s="88"/>
      <c r="D13" s="89"/>
      <c r="E13" s="88" t="s">
        <v>2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90"/>
      <c r="V13" s="91" t="s">
        <v>3</v>
      </c>
      <c r="W13" s="91" t="s">
        <v>4</v>
      </c>
      <c r="X13" s="91" t="s">
        <v>5</v>
      </c>
      <c r="Y13" s="92" t="s">
        <v>6</v>
      </c>
      <c r="Z13" s="93"/>
      <c r="AA13" s="94">
        <v>2</v>
      </c>
      <c r="AB13" s="95" t="s">
        <v>16</v>
      </c>
      <c r="AC13" s="94">
        <v>5</v>
      </c>
      <c r="AD13" s="96">
        <v>8</v>
      </c>
      <c r="AE13" s="97" t="s">
        <v>265</v>
      </c>
      <c r="AF13" s="97"/>
      <c r="AG13" s="98"/>
      <c r="AH13" s="99"/>
      <c r="AI13" s="99"/>
      <c r="AJ13" s="391" t="s">
        <v>18</v>
      </c>
      <c r="AK13" s="392"/>
      <c r="AL13" s="401">
        <v>10</v>
      </c>
      <c r="AM13" s="402"/>
      <c r="AN13" s="100"/>
      <c r="AO13" s="101">
        <f>IF(BQ13="","",IF(BQ13=$BL$10,"2"+AO1,IF(BQ13=$BM$10,"1"+AO1,IF(BQ13=$BN$10,"0"+AO1,IF(BQ13=$BO$10,"0"+AO1,IF(BQ13=$BP$10,"0"+AO1,"0"+AO1))))))</f>
        <v>0</v>
      </c>
      <c r="AP13" s="95" t="s">
        <v>16</v>
      </c>
      <c r="AQ13" s="102"/>
      <c r="AR13" s="103">
        <f>IF(BQ13="","",IF(BQ13=$BL$11,"2"+AR1,IF(BQ13=$BM$11,"1"+AR1,IF(BQ13=$BN$11,"0"+AR1,IF(BQ13=$BO$11,"0"+AR1,IF(BQ13=$BP$11,"0"+AR1,"0"+AR1))))))</f>
        <v>2</v>
      </c>
      <c r="AY13" s="38" t="str">
        <f>CONCATENATE(AJ13&amp;AL13)</f>
        <v>B10</v>
      </c>
      <c r="AZ13" s="38" t="str">
        <f>IF(AE13=$AW$11,"2","0")</f>
        <v>2</v>
      </c>
      <c r="BA13" s="38" t="str">
        <f>IF(AG13=$AW$11,"1","0")</f>
        <v>0</v>
      </c>
      <c r="BB13" s="38" t="str">
        <f>IF(AF13=$AW$11,"1","0")</f>
        <v>0</v>
      </c>
      <c r="BC13" s="38">
        <f>AZ13+BA13</f>
        <v>2</v>
      </c>
      <c r="BD13" s="38">
        <f>BB13+0</f>
        <v>0</v>
      </c>
      <c r="BL13" s="38" t="str">
        <f>IF(AE13="","",CONCATENATE($BL$12&amp;AJ13&amp;AE13))</f>
        <v>swBX</v>
      </c>
      <c r="BM13" s="38" t="str">
        <f>IF(AG13="","",CONCATENATE($BM$12&amp;AJ13&amp;AG13))</f>
        <v/>
      </c>
      <c r="BN13" s="38" t="str">
        <f>IF(AF13="","",CONCATENATE($BN$12&amp;AJ13,AF13))</f>
        <v/>
      </c>
      <c r="BO13" s="38" t="str">
        <f>IF(AH13="","",CONCATENATE($BO$12&amp;AJ13&amp;AH13))</f>
        <v/>
      </c>
      <c r="BP13" s="38" t="str">
        <f>IF(AI13="","",CONCATENATE($BP$12&amp;AJ13&amp;AI13))</f>
        <v/>
      </c>
      <c r="BQ13" s="38" t="str">
        <f>CONCATENATE(BL13&amp;BM13&amp;BN13&amp;BO13&amp;BP13)</f>
        <v>swBX</v>
      </c>
    </row>
    <row r="14" spans="1:256" ht="15.6" x14ac:dyDescent="0.3">
      <c r="A14" s="104" t="s">
        <v>265</v>
      </c>
      <c r="B14" s="397">
        <f>IF(ISBLANK(HLOOKUP($F$10,spelerslijsten!$B$1:$J$22,4,FALSE)),"",HLOOKUP($F$10,spelerslijsten!$B$1:$J$22,4,FALSE))</f>
        <v>2</v>
      </c>
      <c r="C14" s="398"/>
      <c r="D14" s="105"/>
      <c r="E14" s="106" t="str">
        <f>IF(ISBLANK(HLOOKUP($F$10,spelerslijsten!$B$1:$J$22,3,FALSE)),"",HLOOKUP($F$10,spelerslijsten!$B$1:$J$22,3,FALSE))</f>
        <v>Yevgeni Petrov</v>
      </c>
      <c r="F14" s="107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8">
        <f t="shared" ref="V14:V20" si="0">SUMIF($AY$13:$AY$46,AT14,$BC$13:$BC$46)</f>
        <v>0</v>
      </c>
      <c r="W14" s="109" t="str">
        <f>IF(AU14&gt;0,"x","")</f>
        <v>x</v>
      </c>
      <c r="X14" s="110" t="str">
        <f>IF(AU14&gt;1,"x","")</f>
        <v/>
      </c>
      <c r="Y14" s="103" t="str">
        <f>IF(AU14&gt;2,"x","")</f>
        <v/>
      </c>
      <c r="Z14" s="111"/>
      <c r="AA14" s="112">
        <v>5</v>
      </c>
      <c r="AB14" s="113" t="str">
        <f>+AB13</f>
        <v>-</v>
      </c>
      <c r="AC14" s="112">
        <v>5</v>
      </c>
      <c r="AD14" s="114">
        <v>0</v>
      </c>
      <c r="AE14" s="115"/>
      <c r="AF14" s="115"/>
      <c r="AG14" s="116" t="s">
        <v>265</v>
      </c>
      <c r="AH14" s="117"/>
      <c r="AI14" s="117"/>
      <c r="AJ14" s="342" t="s">
        <v>18</v>
      </c>
      <c r="AK14" s="343"/>
      <c r="AL14" s="346">
        <v>10</v>
      </c>
      <c r="AM14" s="347"/>
      <c r="AN14" s="118"/>
      <c r="AO14" s="101">
        <f>IF(BQ14="","",IF(BQ14=$BL$10,"2"+AO13,IF(BQ14=$BM$10,"1"+AO13,IF(BQ14=$BN$10,"0"+AO13,IF(BQ14=$BO$10,"0"+AO13,IF(BQ14=$BP$10,"0"+AO13,"0"+AO13))))))</f>
        <v>0</v>
      </c>
      <c r="AP14" s="113" t="str">
        <f>+AP13</f>
        <v>-</v>
      </c>
      <c r="AQ14" s="119"/>
      <c r="AR14" s="103">
        <f>IF(BQ14="","",IF(BQ14=$BL$11,"2"+AR13,IF(BQ14=$BM$11,"1"+AR13,IF(BQ14=$BN$11,"0"+AR13,IF(BQ14=$BO$11,"0"+AR13,IF(BQ14=$BP$11,"0"+AR13,"0"+AR13))))))</f>
        <v>3</v>
      </c>
      <c r="AT14" s="38" t="str">
        <f>CONCATENATE($AU$11&amp;B14)</f>
        <v>W2</v>
      </c>
      <c r="AU14" s="38">
        <f>SUMIF($AY$13:$AY$46,AT14,$BD$13:$BD$46)</f>
        <v>1</v>
      </c>
      <c r="AY14" s="38" t="str">
        <f t="shared" ref="AY14:AY46" si="1">CONCATENATE(AJ14&amp;AL14)</f>
        <v>B10</v>
      </c>
      <c r="AZ14" s="38" t="str">
        <f t="shared" ref="AZ14:AZ46" si="2">IF(AE14=$AW$11,"2","0")</f>
        <v>0</v>
      </c>
      <c r="BA14" s="38" t="str">
        <f t="shared" ref="BA14:BA46" si="3">IF(AG14=$AW$11,"1","0")</f>
        <v>1</v>
      </c>
      <c r="BB14" s="38" t="str">
        <f t="shared" ref="BB14:BB46" si="4">IF(AF14=$AW$11,"1","0")</f>
        <v>0</v>
      </c>
      <c r="BC14" s="38">
        <f t="shared" ref="BC14:BC46" si="5">AZ14+BA14</f>
        <v>1</v>
      </c>
      <c r="BD14" s="38">
        <f t="shared" ref="BD14:BD46" si="6">BB14+0</f>
        <v>0</v>
      </c>
      <c r="BL14" s="38" t="str">
        <f t="shared" ref="BL14:BL46" si="7">IF(AE14="","",CONCATENATE($BL$12&amp;AJ14&amp;AE14))</f>
        <v/>
      </c>
      <c r="BM14" s="38" t="str">
        <f t="shared" ref="BM14:BM46" si="8">IF(AG14="","",CONCATENATE($BM$12&amp;AJ14&amp;AG14))</f>
        <v>dBX</v>
      </c>
      <c r="BN14" s="38" t="str">
        <f t="shared" ref="BN14:BN46" si="9">IF(AF14="","",CONCATENATE($BN$12&amp;AJ14,AF14))</f>
        <v/>
      </c>
      <c r="BO14" s="38" t="str">
        <f t="shared" ref="BO14:BO46" si="10">IF(AH14="","",CONCATENATE($BO$12&amp;AJ14&amp;AH14))</f>
        <v/>
      </c>
      <c r="BP14" s="38" t="str">
        <f t="shared" ref="BP14:BP46" si="11">IF(AI14="","",CONCATENATE($BP$12&amp;AJ14&amp;AI14))</f>
        <v/>
      </c>
      <c r="BQ14" s="38" t="str">
        <f t="shared" ref="BQ14:BQ46" si="12">CONCATENATE(BL14&amp;BM14&amp;BN14&amp;BO14&amp;BP14)</f>
        <v>dBX</v>
      </c>
    </row>
    <row r="15" spans="1:256" ht="15.6" x14ac:dyDescent="0.3">
      <c r="A15" s="120" t="s">
        <v>265</v>
      </c>
      <c r="B15" s="397">
        <f>IF(ISBLANK(HLOOKUP($F$10,spelerslijsten!$B$1:$J$22,6,FALSE)),"",HLOOKUP($F$10,spelerslijsten!$B$1:$J$22,6,FALSE))</f>
        <v>3</v>
      </c>
      <c r="C15" s="398"/>
      <c r="D15" s="121"/>
      <c r="E15" s="122" t="str">
        <f>IF(ISBLANK(HLOOKUP($F$10,spelerslijsten!$B$1:$J$22,5,FALSE)),"",HLOOKUP($F$10,spelerslijsten!$B$1:$J$22,5,FALSE))</f>
        <v>Monique Bijker</v>
      </c>
      <c r="F15" s="123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08">
        <f t="shared" si="0"/>
        <v>0</v>
      </c>
      <c r="W15" s="109" t="str">
        <f t="shared" ref="W15:W23" si="13">IF(AU15&gt;0,"x","")</f>
        <v/>
      </c>
      <c r="X15" s="110" t="str">
        <f t="shared" ref="X15:X23" si="14">IF(AU15&gt;1,"x","")</f>
        <v/>
      </c>
      <c r="Y15" s="103" t="str">
        <f t="shared" ref="Y15:Y23" si="15">IF(AU15&gt;2,"x","")</f>
        <v/>
      </c>
      <c r="Z15" s="111"/>
      <c r="AA15" s="112">
        <v>6</v>
      </c>
      <c r="AB15" s="113" t="str">
        <f t="shared" ref="AB15:AB44" si="16">+AB14</f>
        <v>-</v>
      </c>
      <c r="AC15" s="112">
        <v>3</v>
      </c>
      <c r="AD15" s="114">
        <v>0</v>
      </c>
      <c r="AE15" s="115"/>
      <c r="AF15" s="115"/>
      <c r="AG15" s="116" t="s">
        <v>265</v>
      </c>
      <c r="AH15" s="117"/>
      <c r="AI15" s="117"/>
      <c r="AJ15" s="342" t="s">
        <v>17</v>
      </c>
      <c r="AK15" s="343"/>
      <c r="AL15" s="346">
        <v>10</v>
      </c>
      <c r="AM15" s="347"/>
      <c r="AN15" s="118"/>
      <c r="AO15" s="101">
        <f>IF(BQ15="","",IF(BQ15=$BL$10,"2"+AO14,IF(BQ15=$BM$10,"1"+AO14,IF(BQ15=$BN$10,"0"+AO14,IF(BQ15=$BO$10,"0"+AO14,IF(BQ15=$BP$10,"0"+AO14,"0"+AO14))))))</f>
        <v>1</v>
      </c>
      <c r="AP15" s="113" t="str">
        <f>+AP14</f>
        <v>-</v>
      </c>
      <c r="AQ15" s="119"/>
      <c r="AR15" s="103">
        <f>IF(BQ15="","",IF(BQ15=$BL$11,"2"+AR14,IF(BQ15=$BM$11,"1"+AR14,IF(BQ15=$BN$11,"0"+AR14,IF(BQ15=$BO$11,"0"+AR14,IF(BQ15=$BP$11,"0"+AR14,"0"+AR14))))))</f>
        <v>3</v>
      </c>
      <c r="AT15" s="38" t="str">
        <f t="shared" ref="AT15:AT23" si="17">CONCATENATE($AU$11&amp;B15)</f>
        <v>W3</v>
      </c>
      <c r="AU15" s="38">
        <f t="shared" ref="AU15:AU39" si="18">SUMIF($AY$13:$AY$46,AT15,$BD$13:$BD$46)</f>
        <v>0</v>
      </c>
      <c r="AY15" s="38" t="str">
        <f t="shared" si="1"/>
        <v>W10</v>
      </c>
      <c r="AZ15" s="38" t="str">
        <f t="shared" si="2"/>
        <v>0</v>
      </c>
      <c r="BA15" s="38" t="str">
        <f t="shared" si="3"/>
        <v>1</v>
      </c>
      <c r="BB15" s="38" t="str">
        <f t="shared" si="4"/>
        <v>0</v>
      </c>
      <c r="BC15" s="38">
        <f t="shared" si="5"/>
        <v>1</v>
      </c>
      <c r="BD15" s="38">
        <f t="shared" si="6"/>
        <v>0</v>
      </c>
      <c r="BL15" s="38" t="str">
        <f t="shared" si="7"/>
        <v/>
      </c>
      <c r="BM15" s="38" t="str">
        <f t="shared" si="8"/>
        <v>dWX</v>
      </c>
      <c r="BN15" s="38" t="str">
        <f t="shared" si="9"/>
        <v/>
      </c>
      <c r="BO15" s="38" t="str">
        <f t="shared" si="10"/>
        <v/>
      </c>
      <c r="BP15" s="38" t="str">
        <f t="shared" si="11"/>
        <v/>
      </c>
      <c r="BQ15" s="38" t="str">
        <f t="shared" si="12"/>
        <v>dWX</v>
      </c>
    </row>
    <row r="16" spans="1:256" ht="15.6" x14ac:dyDescent="0.3">
      <c r="A16" s="124" t="s">
        <v>265</v>
      </c>
      <c r="B16" s="397">
        <f>IF(ISBLANK(HLOOKUP($F$10,spelerslijsten!$B$1:$J$22,8,FALSE)),"",HLOOKUP($F$10,spelerslijsten!$B$1:$J$22,8,FALSE))</f>
        <v>4</v>
      </c>
      <c r="C16" s="398"/>
      <c r="D16" s="121"/>
      <c r="E16" s="122" t="str">
        <f>IF(ISBLANK(HLOOKUP($F$10,spelerslijsten!$B$1:$J$22,7,FALSE)),"",HLOOKUP($F$10,spelerslijsten!$B$1:$J$22,7,FALSE))</f>
        <v>Leon Bijker</v>
      </c>
      <c r="F16" s="12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08">
        <f t="shared" si="0"/>
        <v>0</v>
      </c>
      <c r="W16" s="109" t="str">
        <f t="shared" si="13"/>
        <v/>
      </c>
      <c r="X16" s="110" t="str">
        <f t="shared" si="14"/>
        <v/>
      </c>
      <c r="Y16" s="103" t="str">
        <f t="shared" si="15"/>
        <v/>
      </c>
      <c r="Z16" s="111"/>
      <c r="AA16" s="112">
        <v>7</v>
      </c>
      <c r="AB16" s="113" t="str">
        <f t="shared" si="16"/>
        <v>-</v>
      </c>
      <c r="AC16" s="112">
        <v>5</v>
      </c>
      <c r="AD16" s="114">
        <v>0</v>
      </c>
      <c r="AE16" s="115"/>
      <c r="AF16" s="115"/>
      <c r="AG16" s="116" t="s">
        <v>265</v>
      </c>
      <c r="AH16" s="117"/>
      <c r="AI16" s="117"/>
      <c r="AJ16" s="342" t="s">
        <v>18</v>
      </c>
      <c r="AK16" s="343"/>
      <c r="AL16" s="346">
        <v>11</v>
      </c>
      <c r="AM16" s="347"/>
      <c r="AN16" s="118"/>
      <c r="AO16" s="101">
        <f t="shared" ref="AO16:AO46" si="19">IF(BQ16="","",IF(BQ16=$BL$10,"2"+AO15,IF(BQ16=$BM$10,"1"+AO15,IF(BQ16=$BN$10,"0"+AO15,IF(BQ16=$BO$10,"0"+AO15,IF(BQ16=$BP$10,"0"+AO15,"0"+AO15))))))</f>
        <v>1</v>
      </c>
      <c r="AP16" s="113" t="str">
        <f t="shared" ref="AP16:AP46" si="20">+AP15</f>
        <v>-</v>
      </c>
      <c r="AQ16" s="119"/>
      <c r="AR16" s="103">
        <f t="shared" ref="AR16:AR46" si="21">IF(BQ16="","",IF(BQ16=$BL$11,"2"+AR15,IF(BQ16=$BM$11,"1"+AR15,IF(BQ16=$BN$11,"0"+AR15,IF(BQ16=$BO$11,"0"+AR15,IF(BQ16=$BP$11,"0"+AR15,"0"+AR15))))))</f>
        <v>4</v>
      </c>
      <c r="AT16" s="38" t="str">
        <f t="shared" si="17"/>
        <v>W4</v>
      </c>
      <c r="AU16" s="38">
        <f t="shared" si="18"/>
        <v>0</v>
      </c>
      <c r="AY16" s="38" t="str">
        <f t="shared" si="1"/>
        <v>B11</v>
      </c>
      <c r="AZ16" s="38" t="str">
        <f t="shared" si="2"/>
        <v>0</v>
      </c>
      <c r="BA16" s="38" t="str">
        <f t="shared" si="3"/>
        <v>1</v>
      </c>
      <c r="BB16" s="38" t="str">
        <f t="shared" si="4"/>
        <v>0</v>
      </c>
      <c r="BC16" s="38">
        <f t="shared" si="5"/>
        <v>1</v>
      </c>
      <c r="BD16" s="38">
        <f t="shared" si="6"/>
        <v>0</v>
      </c>
      <c r="BL16" s="38" t="str">
        <f t="shared" si="7"/>
        <v/>
      </c>
      <c r="BM16" s="38" t="str">
        <f t="shared" si="8"/>
        <v>dBX</v>
      </c>
      <c r="BN16" s="38" t="str">
        <f t="shared" si="9"/>
        <v/>
      </c>
      <c r="BO16" s="38" t="str">
        <f t="shared" si="10"/>
        <v/>
      </c>
      <c r="BP16" s="38" t="str">
        <f t="shared" si="11"/>
        <v/>
      </c>
      <c r="BQ16" s="38" t="str">
        <f t="shared" si="12"/>
        <v>dBX</v>
      </c>
    </row>
    <row r="17" spans="1:69" ht="15.6" x14ac:dyDescent="0.3">
      <c r="A17" s="124" t="s">
        <v>265</v>
      </c>
      <c r="B17" s="397">
        <f>IF(ISBLANK(HLOOKUP($F$10,spelerslijsten!$B$1:$J$22,10,FALSE)),"",HLOOKUP($F$10,spelerslijsten!$B$1:$J$22,10,FALSE))</f>
        <v>5</v>
      </c>
      <c r="C17" s="398"/>
      <c r="D17" s="121"/>
      <c r="E17" s="122" t="str">
        <f>IF(ISBLANK(HLOOKUP($F$10,spelerslijsten!$B$1:$J$22,9,FALSE)),"",HLOOKUP($F$10,spelerslijsten!$B$1:$J$22,9,FALSE))</f>
        <v>Noah Hazelhoff</v>
      </c>
      <c r="F17" s="12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08">
        <f t="shared" si="0"/>
        <v>1</v>
      </c>
      <c r="W17" s="109" t="str">
        <f t="shared" si="13"/>
        <v/>
      </c>
      <c r="X17" s="110" t="str">
        <f t="shared" si="14"/>
        <v/>
      </c>
      <c r="Y17" s="103" t="str">
        <f t="shared" si="15"/>
        <v/>
      </c>
      <c r="Z17" s="111"/>
      <c r="AA17" s="112">
        <v>8</v>
      </c>
      <c r="AB17" s="113" t="str">
        <f t="shared" si="16"/>
        <v>-</v>
      </c>
      <c r="AC17" s="112">
        <v>4</v>
      </c>
      <c r="AD17" s="114">
        <v>3</v>
      </c>
      <c r="AE17" s="115"/>
      <c r="AF17" s="115"/>
      <c r="AG17" s="116" t="s">
        <v>265</v>
      </c>
      <c r="AH17" s="117"/>
      <c r="AI17" s="117"/>
      <c r="AJ17" s="342" t="s">
        <v>18</v>
      </c>
      <c r="AK17" s="343"/>
      <c r="AL17" s="346">
        <v>8</v>
      </c>
      <c r="AM17" s="347"/>
      <c r="AN17" s="118"/>
      <c r="AO17" s="101">
        <f t="shared" si="19"/>
        <v>1</v>
      </c>
      <c r="AP17" s="113" t="str">
        <f t="shared" si="20"/>
        <v>-</v>
      </c>
      <c r="AQ17" s="119"/>
      <c r="AR17" s="103">
        <f t="shared" si="21"/>
        <v>5</v>
      </c>
      <c r="AT17" s="38" t="str">
        <f t="shared" si="17"/>
        <v>W5</v>
      </c>
      <c r="AU17" s="38">
        <f t="shared" si="18"/>
        <v>0</v>
      </c>
      <c r="AY17" s="38" t="str">
        <f t="shared" si="1"/>
        <v>B8</v>
      </c>
      <c r="AZ17" s="38" t="str">
        <f t="shared" si="2"/>
        <v>0</v>
      </c>
      <c r="BA17" s="38" t="str">
        <f t="shared" si="3"/>
        <v>1</v>
      </c>
      <c r="BB17" s="38" t="str">
        <f t="shared" si="4"/>
        <v>0</v>
      </c>
      <c r="BC17" s="38">
        <f t="shared" si="5"/>
        <v>1</v>
      </c>
      <c r="BD17" s="38">
        <f t="shared" si="6"/>
        <v>0</v>
      </c>
      <c r="BL17" s="38" t="str">
        <f t="shared" si="7"/>
        <v/>
      </c>
      <c r="BM17" s="38" t="str">
        <f t="shared" si="8"/>
        <v>dBX</v>
      </c>
      <c r="BN17" s="38" t="str">
        <f t="shared" si="9"/>
        <v/>
      </c>
      <c r="BO17" s="38" t="str">
        <f t="shared" si="10"/>
        <v/>
      </c>
      <c r="BP17" s="38" t="str">
        <f t="shared" si="11"/>
        <v/>
      </c>
      <c r="BQ17" s="38" t="str">
        <f t="shared" si="12"/>
        <v>dBX</v>
      </c>
    </row>
    <row r="18" spans="1:69" ht="15.6" x14ac:dyDescent="0.3">
      <c r="A18" s="124" t="s">
        <v>265</v>
      </c>
      <c r="B18" s="397">
        <f>IF(ISBLANK(HLOOKUP($F$10,spelerslijsten!$B$1:$J$22,12,FALSE)),"",HLOOKUP($F$10,spelerslijsten!$B$1:$J$22,12,FALSE))</f>
        <v>6</v>
      </c>
      <c r="C18" s="398"/>
      <c r="D18" s="121"/>
      <c r="E18" s="122" t="str">
        <f>IF(ISBLANK(HLOOKUP($F$10,spelerslijsten!$B$1:$J$22,11,FALSE)),"",HLOOKUP($F$10,spelerslijsten!$B$1:$J$22,11,FALSE))</f>
        <v>Joran van Achteren</v>
      </c>
      <c r="F18" s="12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08">
        <f t="shared" si="0"/>
        <v>0</v>
      </c>
      <c r="W18" s="109" t="str">
        <f t="shared" si="13"/>
        <v/>
      </c>
      <c r="X18" s="110" t="str">
        <f t="shared" si="14"/>
        <v/>
      </c>
      <c r="Y18" s="103" t="str">
        <f t="shared" si="15"/>
        <v/>
      </c>
      <c r="Z18" s="111">
        <v>1</v>
      </c>
      <c r="AA18" s="112">
        <v>0</v>
      </c>
      <c r="AB18" s="113" t="s">
        <v>16</v>
      </c>
      <c r="AC18" s="112">
        <v>3</v>
      </c>
      <c r="AD18" s="114">
        <v>9</v>
      </c>
      <c r="AE18" s="115"/>
      <c r="AF18" s="115"/>
      <c r="AG18" s="116" t="s">
        <v>265</v>
      </c>
      <c r="AH18" s="117"/>
      <c r="AI18" s="117"/>
      <c r="AJ18" s="342" t="s">
        <v>18</v>
      </c>
      <c r="AK18" s="343"/>
      <c r="AL18" s="346">
        <v>8</v>
      </c>
      <c r="AM18" s="347"/>
      <c r="AN18" s="118"/>
      <c r="AO18" s="101">
        <f t="shared" si="19"/>
        <v>1</v>
      </c>
      <c r="AP18" s="113" t="str">
        <f t="shared" si="20"/>
        <v>-</v>
      </c>
      <c r="AQ18" s="119"/>
      <c r="AR18" s="103">
        <f t="shared" si="21"/>
        <v>6</v>
      </c>
      <c r="AT18" s="38" t="str">
        <f t="shared" si="17"/>
        <v>W6</v>
      </c>
      <c r="AU18" s="38">
        <f t="shared" si="18"/>
        <v>0</v>
      </c>
      <c r="AY18" s="38" t="str">
        <f t="shared" si="1"/>
        <v>B8</v>
      </c>
      <c r="AZ18" s="38" t="str">
        <f t="shared" si="2"/>
        <v>0</v>
      </c>
      <c r="BA18" s="38" t="str">
        <f t="shared" si="3"/>
        <v>1</v>
      </c>
      <c r="BB18" s="38" t="str">
        <f t="shared" si="4"/>
        <v>0</v>
      </c>
      <c r="BC18" s="38">
        <f t="shared" si="5"/>
        <v>1</v>
      </c>
      <c r="BD18" s="38">
        <f t="shared" si="6"/>
        <v>0</v>
      </c>
      <c r="BL18" s="38" t="str">
        <f t="shared" si="7"/>
        <v/>
      </c>
      <c r="BM18" s="38" t="str">
        <f t="shared" si="8"/>
        <v>dBX</v>
      </c>
      <c r="BN18" s="38" t="str">
        <f t="shared" si="9"/>
        <v/>
      </c>
      <c r="BO18" s="38" t="str">
        <f t="shared" si="10"/>
        <v/>
      </c>
      <c r="BP18" s="38" t="str">
        <f t="shared" si="11"/>
        <v/>
      </c>
      <c r="BQ18" s="38" t="str">
        <f t="shared" si="12"/>
        <v>dBX</v>
      </c>
    </row>
    <row r="19" spans="1:69" ht="15.6" x14ac:dyDescent="0.3">
      <c r="A19" s="124"/>
      <c r="B19" s="397">
        <f>IF(ISBLANK(HLOOKUP($F$10,spelerslijsten!$B$1:$J$22,14,FALSE)),"",HLOOKUP($F$10,spelerslijsten!$B$1:$J$22,14,FALSE))</f>
        <v>7</v>
      </c>
      <c r="C19" s="398"/>
      <c r="D19" s="121"/>
      <c r="E19" s="122" t="str">
        <f>IF(ISBLANK(HLOOKUP($F$10,spelerslijsten!$B$1:$J$22,13,FALSE)),"",HLOOKUP($F$10,spelerslijsten!$B$1:$J$22,13,FALSE))</f>
        <v>Maiker Arends</v>
      </c>
      <c r="F19" s="12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08">
        <f t="shared" si="0"/>
        <v>0</v>
      </c>
      <c r="W19" s="109" t="str">
        <f t="shared" si="13"/>
        <v/>
      </c>
      <c r="X19" s="110" t="str">
        <f t="shared" si="14"/>
        <v/>
      </c>
      <c r="Y19" s="103" t="str">
        <f t="shared" si="15"/>
        <v/>
      </c>
      <c r="Z19" s="111">
        <v>1</v>
      </c>
      <c r="AA19" s="112">
        <v>1</v>
      </c>
      <c r="AB19" s="113" t="str">
        <f t="shared" si="16"/>
        <v>-</v>
      </c>
      <c r="AC19" s="112">
        <v>5</v>
      </c>
      <c r="AD19" s="114">
        <v>8</v>
      </c>
      <c r="AE19" s="115"/>
      <c r="AF19" s="115"/>
      <c r="AG19" s="116" t="s">
        <v>265</v>
      </c>
      <c r="AH19" s="117"/>
      <c r="AI19" s="117"/>
      <c r="AJ19" s="342" t="s">
        <v>17</v>
      </c>
      <c r="AK19" s="343"/>
      <c r="AL19" s="346">
        <v>5</v>
      </c>
      <c r="AM19" s="347"/>
      <c r="AN19" s="118"/>
      <c r="AO19" s="101">
        <f t="shared" si="19"/>
        <v>2</v>
      </c>
      <c r="AP19" s="113" t="str">
        <f t="shared" si="20"/>
        <v>-</v>
      </c>
      <c r="AQ19" s="119"/>
      <c r="AR19" s="103">
        <f t="shared" si="21"/>
        <v>6</v>
      </c>
      <c r="AT19" s="38" t="str">
        <f t="shared" si="17"/>
        <v>W7</v>
      </c>
      <c r="AU19" s="38">
        <f t="shared" si="18"/>
        <v>0</v>
      </c>
      <c r="AY19" s="38" t="str">
        <f t="shared" si="1"/>
        <v>W5</v>
      </c>
      <c r="AZ19" s="38" t="str">
        <f t="shared" si="2"/>
        <v>0</v>
      </c>
      <c r="BA19" s="38" t="str">
        <f t="shared" si="3"/>
        <v>1</v>
      </c>
      <c r="BB19" s="38" t="str">
        <f t="shared" si="4"/>
        <v>0</v>
      </c>
      <c r="BC19" s="38">
        <f t="shared" si="5"/>
        <v>1</v>
      </c>
      <c r="BD19" s="38">
        <f t="shared" si="6"/>
        <v>0</v>
      </c>
      <c r="BL19" s="38" t="str">
        <f t="shared" si="7"/>
        <v/>
      </c>
      <c r="BM19" s="38" t="str">
        <f t="shared" si="8"/>
        <v>dWX</v>
      </c>
      <c r="BN19" s="38" t="str">
        <f t="shared" si="9"/>
        <v/>
      </c>
      <c r="BO19" s="38" t="str">
        <f t="shared" si="10"/>
        <v/>
      </c>
      <c r="BP19" s="38" t="str">
        <f t="shared" si="11"/>
        <v/>
      </c>
      <c r="BQ19" s="38" t="str">
        <f t="shared" si="12"/>
        <v>dWX</v>
      </c>
    </row>
    <row r="20" spans="1:69" ht="15.6" x14ac:dyDescent="0.3">
      <c r="A20" s="124"/>
      <c r="B20" s="397">
        <f>IF(ISBLANK(HLOOKUP($F$10,spelerslijsten!$B$1:$J$22,16,FALSE)),"",HLOOKUP($F$10,spelerslijsten!$B$1:$J$22,16,FALSE))</f>
        <v>9</v>
      </c>
      <c r="C20" s="398"/>
      <c r="D20" s="121"/>
      <c r="E20" s="122" t="str">
        <f>IF(ISBLANK(HLOOKUP($F$10,spelerslijsten!$B$1:$J$22,15,FALSE)),"",HLOOKUP($F$10,spelerslijsten!$B$1:$J$22,15,FALSE))</f>
        <v>Wouter van Schip</v>
      </c>
      <c r="F20" s="12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08">
        <f t="shared" si="0"/>
        <v>0</v>
      </c>
      <c r="W20" s="109" t="str">
        <f t="shared" si="13"/>
        <v/>
      </c>
      <c r="X20" s="110" t="str">
        <f t="shared" si="14"/>
        <v/>
      </c>
      <c r="Y20" s="103" t="str">
        <f t="shared" si="15"/>
        <v/>
      </c>
      <c r="Z20" s="111">
        <v>1</v>
      </c>
      <c r="AA20" s="112">
        <v>2</v>
      </c>
      <c r="AB20" s="113" t="str">
        <f t="shared" si="16"/>
        <v>-</v>
      </c>
      <c r="AC20" s="112">
        <v>2</v>
      </c>
      <c r="AD20" s="114">
        <v>9</v>
      </c>
      <c r="AE20" s="115"/>
      <c r="AF20" s="115"/>
      <c r="AG20" s="116" t="s">
        <v>265</v>
      </c>
      <c r="AH20" s="117"/>
      <c r="AI20" s="117"/>
      <c r="AJ20" s="342" t="s">
        <v>18</v>
      </c>
      <c r="AK20" s="343"/>
      <c r="AL20" s="346">
        <v>8</v>
      </c>
      <c r="AM20" s="347"/>
      <c r="AN20" s="118"/>
      <c r="AO20" s="101">
        <f t="shared" si="19"/>
        <v>2</v>
      </c>
      <c r="AP20" s="113" t="str">
        <f t="shared" si="20"/>
        <v>-</v>
      </c>
      <c r="AQ20" s="119"/>
      <c r="AR20" s="103">
        <f t="shared" si="21"/>
        <v>7</v>
      </c>
      <c r="AT20" s="38" t="str">
        <f t="shared" si="17"/>
        <v>W9</v>
      </c>
      <c r="AU20" s="38">
        <f t="shared" si="18"/>
        <v>0</v>
      </c>
      <c r="AY20" s="38" t="str">
        <f t="shared" si="1"/>
        <v>B8</v>
      </c>
      <c r="AZ20" s="38" t="str">
        <f t="shared" si="2"/>
        <v>0</v>
      </c>
      <c r="BA20" s="38" t="str">
        <f t="shared" si="3"/>
        <v>1</v>
      </c>
      <c r="BB20" s="38" t="str">
        <f t="shared" si="4"/>
        <v>0</v>
      </c>
      <c r="BC20" s="38">
        <f t="shared" si="5"/>
        <v>1</v>
      </c>
      <c r="BD20" s="38">
        <f t="shared" si="6"/>
        <v>0</v>
      </c>
      <c r="BL20" s="38" t="str">
        <f t="shared" si="7"/>
        <v/>
      </c>
      <c r="BM20" s="38" t="str">
        <f t="shared" si="8"/>
        <v>dBX</v>
      </c>
      <c r="BN20" s="38" t="str">
        <f t="shared" si="9"/>
        <v/>
      </c>
      <c r="BO20" s="38" t="str">
        <f t="shared" si="10"/>
        <v/>
      </c>
      <c r="BP20" s="38" t="str">
        <f t="shared" si="11"/>
        <v/>
      </c>
      <c r="BQ20" s="38" t="str">
        <f t="shared" si="12"/>
        <v>dBX</v>
      </c>
    </row>
    <row r="21" spans="1:69" ht="15.6" x14ac:dyDescent="0.3">
      <c r="A21" s="124" t="s">
        <v>265</v>
      </c>
      <c r="B21" s="397">
        <f>IF(ISBLANK(HLOOKUP($F$10,spelerslijsten!$B$1:$J$22,18,FALSE)),"",HLOOKUP($F$10,spelerslijsten!$B$1:$J$22,18,FALSE))</f>
        <v>10</v>
      </c>
      <c r="C21" s="398"/>
      <c r="D21" s="121"/>
      <c r="E21" s="122" t="str">
        <f>IF(ISBLANK(HLOOKUP($F$10,spelerslijsten!$B$1:$J$22,17,FALSE)),"",HLOOKUP($F$10,spelerslijsten!$B$1:$J$22,17,FALSE))</f>
        <v>Bianca Verbeek</v>
      </c>
      <c r="F21" s="12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08">
        <f>SUMIF($AY$13:$AY$46,AT21,$BC$13:$BC$46)</f>
        <v>1</v>
      </c>
      <c r="W21" s="109" t="str">
        <f t="shared" si="13"/>
        <v/>
      </c>
      <c r="X21" s="110" t="str">
        <f t="shared" si="14"/>
        <v/>
      </c>
      <c r="Y21" s="103" t="str">
        <f t="shared" si="15"/>
        <v/>
      </c>
      <c r="Z21" s="111">
        <v>1</v>
      </c>
      <c r="AA21" s="112">
        <v>3</v>
      </c>
      <c r="AB21" s="113" t="str">
        <f t="shared" si="16"/>
        <v>-</v>
      </c>
      <c r="AC21" s="112">
        <v>4</v>
      </c>
      <c r="AD21" s="114">
        <v>0</v>
      </c>
      <c r="AE21" s="115"/>
      <c r="AF21" s="115" t="s">
        <v>265</v>
      </c>
      <c r="AG21" s="116"/>
      <c r="AH21" s="117"/>
      <c r="AI21" s="117"/>
      <c r="AJ21" s="342" t="s">
        <v>17</v>
      </c>
      <c r="AK21" s="343"/>
      <c r="AL21" s="346">
        <v>2</v>
      </c>
      <c r="AM21" s="347"/>
      <c r="AN21" s="118"/>
      <c r="AO21" s="101">
        <f t="shared" si="19"/>
        <v>2</v>
      </c>
      <c r="AP21" s="113" t="str">
        <f t="shared" si="20"/>
        <v>-</v>
      </c>
      <c r="AQ21" s="119"/>
      <c r="AR21" s="103">
        <f t="shared" si="21"/>
        <v>7</v>
      </c>
      <c r="AT21" s="38" t="str">
        <f t="shared" si="17"/>
        <v>W10</v>
      </c>
      <c r="AU21" s="38">
        <f t="shared" si="18"/>
        <v>0</v>
      </c>
      <c r="AY21" s="38" t="str">
        <f t="shared" si="1"/>
        <v>W2</v>
      </c>
      <c r="AZ21" s="38" t="str">
        <f t="shared" si="2"/>
        <v>0</v>
      </c>
      <c r="BA21" s="38" t="str">
        <f t="shared" si="3"/>
        <v>0</v>
      </c>
      <c r="BB21" s="38" t="str">
        <f t="shared" si="4"/>
        <v>1</v>
      </c>
      <c r="BC21" s="38">
        <f t="shared" si="5"/>
        <v>0</v>
      </c>
      <c r="BD21" s="38">
        <f t="shared" si="6"/>
        <v>1</v>
      </c>
      <c r="BL21" s="38" t="str">
        <f t="shared" si="7"/>
        <v/>
      </c>
      <c r="BM21" s="38" t="str">
        <f t="shared" si="8"/>
        <v/>
      </c>
      <c r="BN21" s="38" t="str">
        <f t="shared" si="9"/>
        <v>pWX</v>
      </c>
      <c r="BO21" s="38" t="str">
        <f t="shared" si="10"/>
        <v/>
      </c>
      <c r="BP21" s="38" t="str">
        <f t="shared" si="11"/>
        <v/>
      </c>
      <c r="BQ21" s="38" t="str">
        <f t="shared" si="12"/>
        <v>pWX</v>
      </c>
    </row>
    <row r="22" spans="1:69" ht="15.6" x14ac:dyDescent="0.3">
      <c r="A22" s="124"/>
      <c r="B22" s="397" t="str">
        <f>IF(ISBLANK(HLOOKUP($F$10,spelerslijsten!$B$1:$J$22,20,FALSE)),"",HLOOKUP($F$10,spelerslijsten!$B$1:$J$22,20,FALSE))</f>
        <v/>
      </c>
      <c r="C22" s="398"/>
      <c r="D22" s="121"/>
      <c r="E22" s="122" t="str">
        <f>IF(ISBLANK(HLOOKUP($F$10,spelerslijsten!$B$1:$J$22,19,FALSE)),"",HLOOKUP($F$10,spelerslijsten!$B$1:$J$22,19,FALSE))</f>
        <v/>
      </c>
      <c r="F22" s="12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08">
        <f t="shared" ref="V22:V23" si="22">SUMIF($AY$13:$AY$46,AT22,$BC$13:$BC$46)</f>
        <v>0</v>
      </c>
      <c r="W22" s="109" t="str">
        <f t="shared" si="13"/>
        <v/>
      </c>
      <c r="X22" s="110" t="str">
        <f t="shared" si="14"/>
        <v/>
      </c>
      <c r="Y22" s="103" t="str">
        <f t="shared" si="15"/>
        <v/>
      </c>
      <c r="Z22" s="111"/>
      <c r="AA22" s="112"/>
      <c r="AB22" s="113" t="str">
        <f t="shared" si="16"/>
        <v>-</v>
      </c>
      <c r="AC22" s="112"/>
      <c r="AD22" s="114"/>
      <c r="AE22" s="115"/>
      <c r="AF22" s="115"/>
      <c r="AG22" s="116"/>
      <c r="AH22" s="117"/>
      <c r="AI22" s="117"/>
      <c r="AJ22" s="342"/>
      <c r="AK22" s="343"/>
      <c r="AL22" s="346"/>
      <c r="AM22" s="347"/>
      <c r="AN22" s="118"/>
      <c r="AO22" s="101" t="str">
        <f t="shared" si="19"/>
        <v/>
      </c>
      <c r="AP22" s="113" t="str">
        <f t="shared" si="20"/>
        <v>-</v>
      </c>
      <c r="AQ22" s="119"/>
      <c r="AR22" s="103" t="str">
        <f t="shared" si="21"/>
        <v/>
      </c>
      <c r="AT22" s="38" t="str">
        <f t="shared" si="17"/>
        <v>W</v>
      </c>
      <c r="AU22" s="38">
        <f t="shared" si="18"/>
        <v>0</v>
      </c>
      <c r="AY22" s="38" t="str">
        <f t="shared" si="1"/>
        <v/>
      </c>
      <c r="AZ22" s="38" t="str">
        <f t="shared" si="2"/>
        <v>0</v>
      </c>
      <c r="BA22" s="38" t="str">
        <f t="shared" si="3"/>
        <v>0</v>
      </c>
      <c r="BB22" s="38" t="str">
        <f t="shared" si="4"/>
        <v>0</v>
      </c>
      <c r="BC22" s="38">
        <f t="shared" si="5"/>
        <v>0</v>
      </c>
      <c r="BD22" s="38">
        <f t="shared" si="6"/>
        <v>0</v>
      </c>
      <c r="BL22" s="38" t="str">
        <f t="shared" si="7"/>
        <v/>
      </c>
      <c r="BM22" s="38" t="str">
        <f t="shared" si="8"/>
        <v/>
      </c>
      <c r="BN22" s="38" t="str">
        <f t="shared" si="9"/>
        <v/>
      </c>
      <c r="BO22" s="38" t="str">
        <f t="shared" si="10"/>
        <v/>
      </c>
      <c r="BP22" s="38" t="str">
        <f t="shared" si="11"/>
        <v/>
      </c>
      <c r="BQ22" s="38" t="str">
        <f t="shared" si="12"/>
        <v/>
      </c>
    </row>
    <row r="23" spans="1:69" ht="15.6" x14ac:dyDescent="0.3">
      <c r="A23" s="125"/>
      <c r="B23" s="397" t="str">
        <f>IF(ISBLANK(HLOOKUP($F$10,spelerslijsten!$B$1:$J$22,22,FALSE)),"",HLOOKUP($F$10,spelerslijsten!$B$1:$J$22,22,FALSE))</f>
        <v/>
      </c>
      <c r="C23" s="398"/>
      <c r="D23" s="126"/>
      <c r="E23" s="259" t="str">
        <f>IF(ISBLANK(HLOOKUP($F$10,spelerslijsten!$B$1:$J$22,21,FALSE)),"",HLOOKUP($F$10,spelerslijsten!$B$1:$J$22,21,FALSE))</f>
        <v/>
      </c>
      <c r="F23" s="126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08">
        <f t="shared" si="22"/>
        <v>0</v>
      </c>
      <c r="W23" s="109" t="str">
        <f t="shared" si="13"/>
        <v/>
      </c>
      <c r="X23" s="110" t="str">
        <f t="shared" si="14"/>
        <v/>
      </c>
      <c r="Y23" s="103" t="str">
        <f t="shared" si="15"/>
        <v/>
      </c>
      <c r="Z23" s="111"/>
      <c r="AA23" s="112"/>
      <c r="AB23" s="113" t="str">
        <f t="shared" si="16"/>
        <v>-</v>
      </c>
      <c r="AC23" s="112"/>
      <c r="AD23" s="114"/>
      <c r="AE23" s="115"/>
      <c r="AF23" s="115"/>
      <c r="AG23" s="116"/>
      <c r="AH23" s="117"/>
      <c r="AI23" s="117"/>
      <c r="AJ23" s="342"/>
      <c r="AK23" s="343"/>
      <c r="AL23" s="346"/>
      <c r="AM23" s="347"/>
      <c r="AN23" s="118"/>
      <c r="AO23" s="101" t="str">
        <f t="shared" si="19"/>
        <v/>
      </c>
      <c r="AP23" s="113" t="str">
        <f t="shared" si="20"/>
        <v>-</v>
      </c>
      <c r="AQ23" s="119"/>
      <c r="AR23" s="103" t="str">
        <f t="shared" si="21"/>
        <v/>
      </c>
      <c r="AT23" s="38" t="str">
        <f t="shared" si="17"/>
        <v>W</v>
      </c>
      <c r="AU23" s="38">
        <f t="shared" si="18"/>
        <v>0</v>
      </c>
      <c r="AY23" s="38" t="str">
        <f t="shared" si="1"/>
        <v/>
      </c>
      <c r="AZ23" s="38" t="str">
        <f t="shared" si="2"/>
        <v>0</v>
      </c>
      <c r="BA23" s="38" t="str">
        <f t="shared" si="3"/>
        <v>0</v>
      </c>
      <c r="BB23" s="38" t="str">
        <f t="shared" si="4"/>
        <v>0</v>
      </c>
      <c r="BC23" s="38">
        <f t="shared" si="5"/>
        <v>0</v>
      </c>
      <c r="BD23" s="38">
        <f t="shared" si="6"/>
        <v>0</v>
      </c>
      <c r="BL23" s="38" t="str">
        <f t="shared" si="7"/>
        <v/>
      </c>
      <c r="BM23" s="38" t="str">
        <f t="shared" si="8"/>
        <v/>
      </c>
      <c r="BN23" s="38" t="str">
        <f t="shared" si="9"/>
        <v/>
      </c>
      <c r="BO23" s="38" t="str">
        <f t="shared" si="10"/>
        <v/>
      </c>
      <c r="BP23" s="38" t="str">
        <f t="shared" si="11"/>
        <v/>
      </c>
      <c r="BQ23" s="38" t="str">
        <f t="shared" si="12"/>
        <v/>
      </c>
    </row>
    <row r="24" spans="1:69" ht="16.2" thickBot="1" x14ac:dyDescent="0.35">
      <c r="A24" s="71" t="s">
        <v>67</v>
      </c>
      <c r="B24" s="72"/>
      <c r="C24" s="72"/>
      <c r="D24" s="72"/>
      <c r="E24" s="72"/>
      <c r="F24" s="72"/>
      <c r="G24" s="72"/>
      <c r="I24" s="399">
        <f>HLOOKUP(F10,spelerslijsten!B1:J25,25,FALSE)</f>
        <v>0</v>
      </c>
      <c r="J24" s="400"/>
      <c r="K24" s="74" t="s">
        <v>23</v>
      </c>
      <c r="L24" s="72"/>
      <c r="M24" s="72"/>
      <c r="N24" s="129" t="str">
        <f>HLOOKUP(F10,spelerslijsten!B1:J25,23,FALSE)</f>
        <v>Natascha Magrie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30"/>
      <c r="Z24" s="131"/>
      <c r="AA24" s="132"/>
      <c r="AB24" s="133" t="str">
        <f t="shared" si="16"/>
        <v>-</v>
      </c>
      <c r="AC24" s="132"/>
      <c r="AD24" s="134"/>
      <c r="AE24" s="135"/>
      <c r="AF24" s="135"/>
      <c r="AG24" s="136"/>
      <c r="AH24" s="137"/>
      <c r="AI24" s="137"/>
      <c r="AJ24" s="342"/>
      <c r="AK24" s="343"/>
      <c r="AL24" s="350"/>
      <c r="AM24" s="351"/>
      <c r="AN24" s="138"/>
      <c r="AO24" s="101" t="str">
        <f t="shared" si="19"/>
        <v/>
      </c>
      <c r="AP24" s="113" t="str">
        <f t="shared" si="20"/>
        <v>-</v>
      </c>
      <c r="AQ24" s="119"/>
      <c r="AR24" s="103" t="str">
        <f t="shared" si="21"/>
        <v/>
      </c>
      <c r="AY24" s="38" t="str">
        <f t="shared" si="1"/>
        <v/>
      </c>
      <c r="AZ24" s="38" t="str">
        <f t="shared" si="2"/>
        <v>0</v>
      </c>
      <c r="BA24" s="38" t="str">
        <f t="shared" si="3"/>
        <v>0</v>
      </c>
      <c r="BB24" s="38" t="str">
        <f t="shared" si="4"/>
        <v>0</v>
      </c>
      <c r="BC24" s="38">
        <f t="shared" si="5"/>
        <v>0</v>
      </c>
      <c r="BD24" s="38">
        <f t="shared" si="6"/>
        <v>0</v>
      </c>
      <c r="BL24" s="38" t="str">
        <f t="shared" si="7"/>
        <v/>
      </c>
      <c r="BM24" s="38" t="str">
        <f t="shared" si="8"/>
        <v/>
      </c>
      <c r="BN24" s="38" t="str">
        <f t="shared" si="9"/>
        <v/>
      </c>
      <c r="BO24" s="38" t="str">
        <f t="shared" si="10"/>
        <v/>
      </c>
      <c r="BP24" s="38" t="str">
        <f t="shared" si="11"/>
        <v/>
      </c>
      <c r="BQ24" s="38" t="str">
        <f t="shared" si="12"/>
        <v/>
      </c>
    </row>
    <row r="25" spans="1:69" ht="15" customHeight="1" x14ac:dyDescent="0.3">
      <c r="A25" s="78" t="s">
        <v>60</v>
      </c>
      <c r="B25" s="79"/>
      <c r="C25" s="79"/>
      <c r="D25" s="79"/>
      <c r="E25" s="79"/>
      <c r="F25" s="356" t="str">
        <f>+AC7</f>
        <v>Gesposs Blauw</v>
      </c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7"/>
      <c r="Z25" s="139"/>
      <c r="AA25" s="140"/>
      <c r="AB25" s="141" t="str">
        <f t="shared" si="16"/>
        <v>-</v>
      </c>
      <c r="AC25" s="140"/>
      <c r="AD25" s="142"/>
      <c r="AE25" s="143"/>
      <c r="AF25" s="143"/>
      <c r="AG25" s="144"/>
      <c r="AH25" s="145"/>
      <c r="AI25" s="145"/>
      <c r="AJ25" s="342"/>
      <c r="AK25" s="343"/>
      <c r="AL25" s="346"/>
      <c r="AM25" s="347"/>
      <c r="AN25" s="146"/>
      <c r="AO25" s="101" t="str">
        <f t="shared" si="19"/>
        <v/>
      </c>
      <c r="AP25" s="113" t="str">
        <f t="shared" si="20"/>
        <v>-</v>
      </c>
      <c r="AQ25" s="119"/>
      <c r="AR25" s="103" t="str">
        <f t="shared" si="21"/>
        <v/>
      </c>
      <c r="AY25" s="38" t="str">
        <f t="shared" si="1"/>
        <v/>
      </c>
      <c r="AZ25" s="38" t="str">
        <f t="shared" si="2"/>
        <v>0</v>
      </c>
      <c r="BA25" s="38" t="str">
        <f t="shared" si="3"/>
        <v>0</v>
      </c>
      <c r="BB25" s="38" t="str">
        <f t="shared" si="4"/>
        <v>0</v>
      </c>
      <c r="BC25" s="38">
        <f t="shared" si="5"/>
        <v>0</v>
      </c>
      <c r="BD25" s="38">
        <f t="shared" si="6"/>
        <v>0</v>
      </c>
      <c r="BL25" s="38" t="str">
        <f t="shared" si="7"/>
        <v/>
      </c>
      <c r="BM25" s="38" t="str">
        <f t="shared" si="8"/>
        <v/>
      </c>
      <c r="BN25" s="38" t="str">
        <f t="shared" si="9"/>
        <v/>
      </c>
      <c r="BO25" s="38" t="str">
        <f t="shared" si="10"/>
        <v/>
      </c>
      <c r="BP25" s="38" t="str">
        <f t="shared" si="11"/>
        <v/>
      </c>
      <c r="BQ25" s="38" t="str">
        <f t="shared" si="12"/>
        <v/>
      </c>
    </row>
    <row r="26" spans="1:69" ht="15" customHeight="1" x14ac:dyDescent="0.3">
      <c r="A26" s="393" t="s">
        <v>24</v>
      </c>
      <c r="B26" s="394"/>
      <c r="C26" s="394"/>
      <c r="D26" s="394"/>
      <c r="E26" s="81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9"/>
      <c r="Z26" s="139"/>
      <c r="AA26" s="140"/>
      <c r="AB26" s="141" t="s">
        <v>16</v>
      </c>
      <c r="AC26" s="140"/>
      <c r="AD26" s="142"/>
      <c r="AE26" s="143"/>
      <c r="AF26" s="143"/>
      <c r="AG26" s="144"/>
      <c r="AH26" s="145"/>
      <c r="AI26" s="145"/>
      <c r="AJ26" s="342"/>
      <c r="AK26" s="343"/>
      <c r="AL26" s="346"/>
      <c r="AM26" s="347"/>
      <c r="AN26" s="146"/>
      <c r="AO26" s="101" t="str">
        <f t="shared" si="19"/>
        <v/>
      </c>
      <c r="AP26" s="113" t="str">
        <f t="shared" si="20"/>
        <v>-</v>
      </c>
      <c r="AQ26" s="119"/>
      <c r="AR26" s="103" t="str">
        <f t="shared" si="21"/>
        <v/>
      </c>
      <c r="AY26" s="38" t="str">
        <f t="shared" si="1"/>
        <v/>
      </c>
      <c r="AZ26" s="38" t="str">
        <f t="shared" si="2"/>
        <v>0</v>
      </c>
      <c r="BA26" s="38" t="str">
        <f t="shared" si="3"/>
        <v>0</v>
      </c>
      <c r="BB26" s="38" t="str">
        <f t="shared" si="4"/>
        <v>0</v>
      </c>
      <c r="BC26" s="38">
        <f t="shared" si="5"/>
        <v>0</v>
      </c>
      <c r="BD26" s="38">
        <f t="shared" si="6"/>
        <v>0</v>
      </c>
      <c r="BL26" s="38" t="str">
        <f t="shared" si="7"/>
        <v/>
      </c>
      <c r="BM26" s="38" t="str">
        <f t="shared" si="8"/>
        <v/>
      </c>
      <c r="BN26" s="38" t="str">
        <f t="shared" si="9"/>
        <v/>
      </c>
      <c r="BO26" s="38" t="str">
        <f t="shared" si="10"/>
        <v/>
      </c>
      <c r="BP26" s="38" t="str">
        <f t="shared" si="11"/>
        <v/>
      </c>
      <c r="BQ26" s="38" t="str">
        <f t="shared" si="12"/>
        <v/>
      </c>
    </row>
    <row r="27" spans="1:69" ht="15.6" x14ac:dyDescent="0.3">
      <c r="A27" s="393"/>
      <c r="B27" s="394"/>
      <c r="C27" s="394"/>
      <c r="D27" s="394"/>
      <c r="E27" s="81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9"/>
      <c r="Z27" s="139"/>
      <c r="AA27" s="140"/>
      <c r="AB27" s="141" t="s">
        <v>16</v>
      </c>
      <c r="AC27" s="140"/>
      <c r="AD27" s="142"/>
      <c r="AE27" s="143"/>
      <c r="AF27" s="143"/>
      <c r="AG27" s="144"/>
      <c r="AH27" s="145"/>
      <c r="AI27" s="145"/>
      <c r="AJ27" s="342"/>
      <c r="AK27" s="343"/>
      <c r="AL27" s="346"/>
      <c r="AM27" s="347"/>
      <c r="AN27" s="146"/>
      <c r="AO27" s="101" t="str">
        <f t="shared" si="19"/>
        <v/>
      </c>
      <c r="AP27" s="113" t="str">
        <f t="shared" si="20"/>
        <v>-</v>
      </c>
      <c r="AQ27" s="119"/>
      <c r="AR27" s="103" t="str">
        <f t="shared" si="21"/>
        <v/>
      </c>
      <c r="AY27" s="38" t="str">
        <f t="shared" si="1"/>
        <v/>
      </c>
      <c r="AZ27" s="38" t="str">
        <f t="shared" si="2"/>
        <v>0</v>
      </c>
      <c r="BA27" s="38" t="str">
        <f t="shared" si="3"/>
        <v>0</v>
      </c>
      <c r="BB27" s="38" t="str">
        <f t="shared" si="4"/>
        <v>0</v>
      </c>
      <c r="BC27" s="38">
        <f t="shared" si="5"/>
        <v>0</v>
      </c>
      <c r="BD27" s="38">
        <f t="shared" si="6"/>
        <v>0</v>
      </c>
      <c r="BL27" s="38" t="str">
        <f t="shared" si="7"/>
        <v/>
      </c>
      <c r="BM27" s="38" t="str">
        <f t="shared" si="8"/>
        <v/>
      </c>
      <c r="BN27" s="38" t="str">
        <f t="shared" si="9"/>
        <v/>
      </c>
      <c r="BO27" s="38" t="str">
        <f t="shared" si="10"/>
        <v/>
      </c>
      <c r="BP27" s="38" t="str">
        <f t="shared" si="11"/>
        <v/>
      </c>
      <c r="BQ27" s="38" t="str">
        <f t="shared" si="12"/>
        <v/>
      </c>
    </row>
    <row r="28" spans="1:69" ht="15.6" x14ac:dyDescent="0.3">
      <c r="A28" s="395"/>
      <c r="B28" s="396"/>
      <c r="C28" s="396"/>
      <c r="D28" s="396"/>
      <c r="E28" s="81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1"/>
      <c r="Z28" s="147"/>
      <c r="AA28" s="140"/>
      <c r="AB28" s="148" t="str">
        <f>+AB25</f>
        <v>-</v>
      </c>
      <c r="AC28" s="140"/>
      <c r="AD28" s="142"/>
      <c r="AE28" s="143"/>
      <c r="AF28" s="143"/>
      <c r="AG28" s="144"/>
      <c r="AH28" s="145"/>
      <c r="AI28" s="145"/>
      <c r="AJ28" s="342"/>
      <c r="AK28" s="343"/>
      <c r="AL28" s="346"/>
      <c r="AM28" s="347"/>
      <c r="AN28" s="146"/>
      <c r="AO28" s="101" t="str">
        <f t="shared" si="19"/>
        <v/>
      </c>
      <c r="AP28" s="113" t="str">
        <f t="shared" si="20"/>
        <v>-</v>
      </c>
      <c r="AQ28" s="119"/>
      <c r="AR28" s="103" t="str">
        <f t="shared" si="21"/>
        <v/>
      </c>
      <c r="AY28" s="38" t="str">
        <f t="shared" si="1"/>
        <v/>
      </c>
      <c r="AZ28" s="38" t="str">
        <f t="shared" si="2"/>
        <v>0</v>
      </c>
      <c r="BA28" s="38" t="str">
        <f t="shared" si="3"/>
        <v>0</v>
      </c>
      <c r="BB28" s="38" t="str">
        <f t="shared" si="4"/>
        <v>0</v>
      </c>
      <c r="BC28" s="38">
        <f t="shared" si="5"/>
        <v>0</v>
      </c>
      <c r="BD28" s="38">
        <f t="shared" si="6"/>
        <v>0</v>
      </c>
      <c r="BL28" s="38" t="str">
        <f t="shared" si="7"/>
        <v/>
      </c>
      <c r="BM28" s="38" t="str">
        <f t="shared" si="8"/>
        <v/>
      </c>
      <c r="BN28" s="38" t="str">
        <f t="shared" si="9"/>
        <v/>
      </c>
      <c r="BO28" s="38" t="str">
        <f t="shared" si="10"/>
        <v/>
      </c>
      <c r="BP28" s="38" t="str">
        <f t="shared" si="11"/>
        <v/>
      </c>
      <c r="BQ28" s="38" t="str">
        <f t="shared" si="12"/>
        <v/>
      </c>
    </row>
    <row r="29" spans="1:69" ht="15.6" x14ac:dyDescent="0.3">
      <c r="A29" s="86" t="s">
        <v>0</v>
      </c>
      <c r="B29" s="87" t="s">
        <v>1</v>
      </c>
      <c r="C29" s="64"/>
      <c r="D29" s="89"/>
      <c r="E29" s="88" t="s">
        <v>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90"/>
      <c r="V29" s="91" t="s">
        <v>3</v>
      </c>
      <c r="W29" s="91" t="s">
        <v>4</v>
      </c>
      <c r="X29" s="91" t="s">
        <v>5</v>
      </c>
      <c r="Y29" s="92" t="s">
        <v>6</v>
      </c>
      <c r="Z29" s="111"/>
      <c r="AA29" s="149"/>
      <c r="AB29" s="150" t="str">
        <f t="shared" si="16"/>
        <v>-</v>
      </c>
      <c r="AC29" s="149"/>
      <c r="AD29" s="151"/>
      <c r="AE29" s="152"/>
      <c r="AF29" s="152"/>
      <c r="AG29" s="153"/>
      <c r="AH29" s="154"/>
      <c r="AI29" s="154"/>
      <c r="AJ29" s="342"/>
      <c r="AK29" s="343"/>
      <c r="AL29" s="348"/>
      <c r="AM29" s="349"/>
      <c r="AN29" s="155"/>
      <c r="AO29" s="101" t="str">
        <f t="shared" si="19"/>
        <v/>
      </c>
      <c r="AP29" s="113" t="str">
        <f t="shared" si="20"/>
        <v>-</v>
      </c>
      <c r="AQ29" s="119"/>
      <c r="AR29" s="103" t="str">
        <f t="shared" si="21"/>
        <v/>
      </c>
      <c r="AY29" s="38" t="str">
        <f t="shared" si="1"/>
        <v/>
      </c>
      <c r="AZ29" s="38" t="str">
        <f t="shared" si="2"/>
        <v>0</v>
      </c>
      <c r="BA29" s="38" t="str">
        <f t="shared" si="3"/>
        <v>0</v>
      </c>
      <c r="BB29" s="38" t="str">
        <f t="shared" si="4"/>
        <v>0</v>
      </c>
      <c r="BC29" s="38">
        <f t="shared" si="5"/>
        <v>0</v>
      </c>
      <c r="BD29" s="38">
        <f t="shared" si="6"/>
        <v>0</v>
      </c>
      <c r="BL29" s="38" t="str">
        <f t="shared" si="7"/>
        <v/>
      </c>
      <c r="BM29" s="38" t="str">
        <f t="shared" si="8"/>
        <v/>
      </c>
      <c r="BN29" s="38" t="str">
        <f t="shared" si="9"/>
        <v/>
      </c>
      <c r="BO29" s="38" t="str">
        <f t="shared" si="10"/>
        <v/>
      </c>
      <c r="BP29" s="38" t="str">
        <f t="shared" si="11"/>
        <v/>
      </c>
      <c r="BQ29" s="38" t="str">
        <f t="shared" si="12"/>
        <v/>
      </c>
    </row>
    <row r="30" spans="1:69" ht="15.6" x14ac:dyDescent="0.3">
      <c r="A30" s="104" t="s">
        <v>265</v>
      </c>
      <c r="B30" s="397">
        <f>IF(ISBLANK(HLOOKUP($F$25,spelerslijsten!$B$1:$J$22,4,FALSE)),"",HLOOKUP($F$25,spelerslijsten!$B$1:$J$22,4,FALSE))</f>
        <v>2</v>
      </c>
      <c r="C30" s="398"/>
      <c r="D30" s="105"/>
      <c r="E30" s="106" t="str">
        <f>IF(ISBLANK(HLOOKUP($F$25,spelerslijsten!$B$1:$J$22,3,FALSE)),"",HLOOKUP($F$25,spelerslijsten!$B$1:$J$22,3,FALSE))</f>
        <v>Jack Steeghs</v>
      </c>
      <c r="F30" s="105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8">
        <f t="shared" ref="V30:V39" si="23">SUMIF($AY$13:$AY$46,AT30,$BC$13:$BC$46)</f>
        <v>0</v>
      </c>
      <c r="W30" s="109" t="str">
        <f>IF(AU30&gt;0,"x","")</f>
        <v/>
      </c>
      <c r="X30" s="110" t="str">
        <f>IF(AU30&gt;1,"x","")</f>
        <v/>
      </c>
      <c r="Y30" s="103" t="str">
        <f>IF(AU30&gt;2,"x","")</f>
        <v/>
      </c>
      <c r="Z30" s="111"/>
      <c r="AA30" s="112"/>
      <c r="AB30" s="113" t="str">
        <f t="shared" si="16"/>
        <v>-</v>
      </c>
      <c r="AC30" s="112"/>
      <c r="AD30" s="114"/>
      <c r="AE30" s="115"/>
      <c r="AF30" s="115"/>
      <c r="AG30" s="116"/>
      <c r="AH30" s="117"/>
      <c r="AI30" s="117"/>
      <c r="AJ30" s="342"/>
      <c r="AK30" s="343"/>
      <c r="AL30" s="346"/>
      <c r="AM30" s="347"/>
      <c r="AN30" s="118"/>
      <c r="AO30" s="101" t="str">
        <f t="shared" si="19"/>
        <v/>
      </c>
      <c r="AP30" s="113" t="str">
        <f t="shared" si="20"/>
        <v>-</v>
      </c>
      <c r="AQ30" s="119"/>
      <c r="AR30" s="103" t="str">
        <f t="shared" si="21"/>
        <v/>
      </c>
      <c r="AT30" s="38" t="str">
        <f>CONCATENATE($AV$11&amp;B30)</f>
        <v>B2</v>
      </c>
      <c r="AU30" s="38">
        <f t="shared" si="18"/>
        <v>0</v>
      </c>
      <c r="AY30" s="38" t="str">
        <f t="shared" si="1"/>
        <v/>
      </c>
      <c r="AZ30" s="38" t="str">
        <f t="shared" si="2"/>
        <v>0</v>
      </c>
      <c r="BA30" s="38" t="str">
        <f t="shared" si="3"/>
        <v>0</v>
      </c>
      <c r="BB30" s="38" t="str">
        <f t="shared" si="4"/>
        <v>0</v>
      </c>
      <c r="BC30" s="38">
        <f t="shared" si="5"/>
        <v>0</v>
      </c>
      <c r="BD30" s="38">
        <f t="shared" si="6"/>
        <v>0</v>
      </c>
      <c r="BL30" s="38" t="str">
        <f t="shared" si="7"/>
        <v/>
      </c>
      <c r="BM30" s="38" t="str">
        <f t="shared" si="8"/>
        <v/>
      </c>
      <c r="BN30" s="38" t="str">
        <f t="shared" si="9"/>
        <v/>
      </c>
      <c r="BO30" s="38" t="str">
        <f t="shared" si="10"/>
        <v/>
      </c>
      <c r="BP30" s="38" t="str">
        <f t="shared" si="11"/>
        <v/>
      </c>
      <c r="BQ30" s="38" t="str">
        <f t="shared" si="12"/>
        <v/>
      </c>
    </row>
    <row r="31" spans="1:69" ht="15.6" x14ac:dyDescent="0.3">
      <c r="A31" s="120" t="s">
        <v>265</v>
      </c>
      <c r="B31" s="397">
        <f>IF(ISBLANK(HLOOKUP($F$25,spelerslijsten!$B$1:$J$22,6,FALSE)),"",HLOOKUP($F$25,spelerslijsten!$B$1:$J$22,6,FALSE))</f>
        <v>3</v>
      </c>
      <c r="C31" s="398"/>
      <c r="D31" s="121"/>
      <c r="E31" s="122" t="str">
        <f>IF(ISBLANK(HLOOKUP($F$25,spelerslijsten!$B$1:$J$22,5,FALSE)),"",HLOOKUP($F$25,spelerslijsten!$B$1:$J$22,5,FALSE))</f>
        <v>Niels Venterink</v>
      </c>
      <c r="F31" s="12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08">
        <f t="shared" si="23"/>
        <v>0</v>
      </c>
      <c r="W31" s="109" t="str">
        <f t="shared" ref="W31:W39" si="24">IF(AU31&gt;0,"x","")</f>
        <v/>
      </c>
      <c r="X31" s="110" t="str">
        <f t="shared" ref="X31:X39" si="25">IF(AU31&gt;1,"x","")</f>
        <v/>
      </c>
      <c r="Y31" s="103" t="str">
        <f t="shared" ref="Y31:Y39" si="26">IF(AU31&gt;2,"x","")</f>
        <v/>
      </c>
      <c r="Z31" s="111"/>
      <c r="AA31" s="112"/>
      <c r="AB31" s="113" t="str">
        <f t="shared" si="16"/>
        <v>-</v>
      </c>
      <c r="AC31" s="112"/>
      <c r="AD31" s="114"/>
      <c r="AE31" s="115"/>
      <c r="AF31" s="115"/>
      <c r="AG31" s="116"/>
      <c r="AH31" s="117"/>
      <c r="AI31" s="117"/>
      <c r="AJ31" s="342"/>
      <c r="AK31" s="343"/>
      <c r="AL31" s="346"/>
      <c r="AM31" s="347"/>
      <c r="AN31" s="118"/>
      <c r="AO31" s="101" t="str">
        <f t="shared" si="19"/>
        <v/>
      </c>
      <c r="AP31" s="113" t="str">
        <f t="shared" si="20"/>
        <v>-</v>
      </c>
      <c r="AQ31" s="119"/>
      <c r="AR31" s="103" t="str">
        <f t="shared" si="21"/>
        <v/>
      </c>
      <c r="AT31" s="38" t="str">
        <f t="shared" ref="AT31:AT39" si="27">CONCATENATE($AV$11&amp;B31)</f>
        <v>B3</v>
      </c>
      <c r="AU31" s="38">
        <f t="shared" si="18"/>
        <v>0</v>
      </c>
      <c r="AY31" s="38" t="str">
        <f t="shared" si="1"/>
        <v/>
      </c>
      <c r="AZ31" s="38" t="str">
        <f t="shared" si="2"/>
        <v>0</v>
      </c>
      <c r="BA31" s="38" t="str">
        <f t="shared" si="3"/>
        <v>0</v>
      </c>
      <c r="BB31" s="38" t="str">
        <f t="shared" si="4"/>
        <v>0</v>
      </c>
      <c r="BC31" s="38">
        <f t="shared" si="5"/>
        <v>0</v>
      </c>
      <c r="BD31" s="38">
        <f t="shared" si="6"/>
        <v>0</v>
      </c>
      <c r="BL31" s="38" t="str">
        <f t="shared" si="7"/>
        <v/>
      </c>
      <c r="BM31" s="38" t="str">
        <f t="shared" si="8"/>
        <v/>
      </c>
      <c r="BN31" s="38" t="str">
        <f t="shared" si="9"/>
        <v/>
      </c>
      <c r="BO31" s="38" t="str">
        <f t="shared" si="10"/>
        <v/>
      </c>
      <c r="BP31" s="38" t="str">
        <f t="shared" si="11"/>
        <v/>
      </c>
      <c r="BQ31" s="38" t="str">
        <f t="shared" si="12"/>
        <v/>
      </c>
    </row>
    <row r="32" spans="1:69" ht="15.6" x14ac:dyDescent="0.3">
      <c r="A32" s="124"/>
      <c r="B32" s="397">
        <f>IF(ISBLANK(HLOOKUP($F$25,spelerslijsten!$B$1:$J$22,8,FALSE)),"",HLOOKUP($F$25,spelerslijsten!$B$1:$J$22,8,FALSE))</f>
        <v>4</v>
      </c>
      <c r="C32" s="398"/>
      <c r="D32" s="121"/>
      <c r="E32" s="122" t="str">
        <f>IF(ISBLANK(HLOOKUP($F$25,spelerslijsten!$B$1:$J$22,7,FALSE)),"",HLOOKUP($F$25,spelerslijsten!$B$1:$J$22,7,FALSE))</f>
        <v>Wendy Kuysters</v>
      </c>
      <c r="F32" s="12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08">
        <f t="shared" si="23"/>
        <v>0</v>
      </c>
      <c r="W32" s="109" t="str">
        <f t="shared" si="24"/>
        <v/>
      </c>
      <c r="X32" s="110" t="str">
        <f t="shared" si="25"/>
        <v/>
      </c>
      <c r="Y32" s="103" t="str">
        <f t="shared" si="26"/>
        <v/>
      </c>
      <c r="Z32" s="111"/>
      <c r="AA32" s="112"/>
      <c r="AB32" s="113" t="str">
        <f t="shared" si="16"/>
        <v>-</v>
      </c>
      <c r="AC32" s="112"/>
      <c r="AD32" s="114"/>
      <c r="AE32" s="115"/>
      <c r="AF32" s="115"/>
      <c r="AG32" s="116"/>
      <c r="AH32" s="117"/>
      <c r="AI32" s="117"/>
      <c r="AJ32" s="342"/>
      <c r="AK32" s="343"/>
      <c r="AL32" s="346"/>
      <c r="AM32" s="347"/>
      <c r="AN32" s="118"/>
      <c r="AO32" s="101" t="str">
        <f t="shared" si="19"/>
        <v/>
      </c>
      <c r="AP32" s="113" t="str">
        <f t="shared" si="20"/>
        <v>-</v>
      </c>
      <c r="AQ32" s="119"/>
      <c r="AR32" s="103" t="str">
        <f t="shared" si="21"/>
        <v/>
      </c>
      <c r="AT32" s="38" t="str">
        <f t="shared" si="27"/>
        <v>B4</v>
      </c>
      <c r="AU32" s="38">
        <f t="shared" si="18"/>
        <v>0</v>
      </c>
      <c r="AY32" s="38" t="str">
        <f t="shared" si="1"/>
        <v/>
      </c>
      <c r="AZ32" s="38" t="str">
        <f t="shared" si="2"/>
        <v>0</v>
      </c>
      <c r="BA32" s="38" t="str">
        <f t="shared" si="3"/>
        <v>0</v>
      </c>
      <c r="BB32" s="38" t="str">
        <f t="shared" si="4"/>
        <v>0</v>
      </c>
      <c r="BC32" s="38">
        <f t="shared" si="5"/>
        <v>0</v>
      </c>
      <c r="BD32" s="38">
        <f t="shared" si="6"/>
        <v>0</v>
      </c>
      <c r="BL32" s="38" t="str">
        <f t="shared" si="7"/>
        <v/>
      </c>
      <c r="BM32" s="38" t="str">
        <f t="shared" si="8"/>
        <v/>
      </c>
      <c r="BN32" s="38" t="str">
        <f t="shared" si="9"/>
        <v/>
      </c>
      <c r="BO32" s="38" t="str">
        <f t="shared" si="10"/>
        <v/>
      </c>
      <c r="BP32" s="38" t="str">
        <f t="shared" si="11"/>
        <v/>
      </c>
      <c r="BQ32" s="38" t="str">
        <f t="shared" si="12"/>
        <v/>
      </c>
    </row>
    <row r="33" spans="1:69" ht="15.6" x14ac:dyDescent="0.3">
      <c r="A33" s="124" t="s">
        <v>265</v>
      </c>
      <c r="B33" s="397">
        <f>IF(ISBLANK(HLOOKUP($F$25,spelerslijsten!$B$1:$J$22,10,FALSE)),"",HLOOKUP($F$25,spelerslijsten!$B$1:$J$22,10,FALSE))</f>
        <v>6</v>
      </c>
      <c r="C33" s="398"/>
      <c r="D33" s="121"/>
      <c r="E33" s="122" t="str">
        <f>IF(ISBLANK(HLOOKUP($F$25,spelerslijsten!$B$1:$J$22,9,FALSE)),"",HLOOKUP($F$25,spelerslijsten!$B$1:$J$22,9,FALSE))</f>
        <v>Kristel Henst</v>
      </c>
      <c r="F33" s="12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08">
        <f t="shared" si="23"/>
        <v>0</v>
      </c>
      <c r="W33" s="109" t="str">
        <f t="shared" si="24"/>
        <v/>
      </c>
      <c r="X33" s="110" t="str">
        <f t="shared" si="25"/>
        <v/>
      </c>
      <c r="Y33" s="103" t="str">
        <f t="shared" si="26"/>
        <v/>
      </c>
      <c r="Z33" s="111"/>
      <c r="AA33" s="112"/>
      <c r="AB33" s="113" t="str">
        <f t="shared" si="16"/>
        <v>-</v>
      </c>
      <c r="AC33" s="112"/>
      <c r="AD33" s="114"/>
      <c r="AE33" s="115"/>
      <c r="AF33" s="115"/>
      <c r="AG33" s="116"/>
      <c r="AH33" s="117"/>
      <c r="AI33" s="117"/>
      <c r="AJ33" s="342"/>
      <c r="AK33" s="343"/>
      <c r="AL33" s="346"/>
      <c r="AM33" s="347"/>
      <c r="AN33" s="118"/>
      <c r="AO33" s="101" t="str">
        <f t="shared" si="19"/>
        <v/>
      </c>
      <c r="AP33" s="113" t="str">
        <f t="shared" si="20"/>
        <v>-</v>
      </c>
      <c r="AQ33" s="119"/>
      <c r="AR33" s="103" t="str">
        <f t="shared" si="21"/>
        <v/>
      </c>
      <c r="AT33" s="38" t="str">
        <f t="shared" si="27"/>
        <v>B6</v>
      </c>
      <c r="AU33" s="38">
        <f t="shared" si="18"/>
        <v>0</v>
      </c>
      <c r="AY33" s="38" t="str">
        <f t="shared" si="1"/>
        <v/>
      </c>
      <c r="AZ33" s="38" t="str">
        <f t="shared" si="2"/>
        <v>0</v>
      </c>
      <c r="BA33" s="38" t="str">
        <f t="shared" si="3"/>
        <v>0</v>
      </c>
      <c r="BB33" s="38" t="str">
        <f t="shared" si="4"/>
        <v>0</v>
      </c>
      <c r="BC33" s="38">
        <f t="shared" si="5"/>
        <v>0</v>
      </c>
      <c r="BD33" s="38">
        <f t="shared" si="6"/>
        <v>0</v>
      </c>
      <c r="BL33" s="38" t="str">
        <f t="shared" si="7"/>
        <v/>
      </c>
      <c r="BM33" s="38" t="str">
        <f t="shared" si="8"/>
        <v/>
      </c>
      <c r="BN33" s="38" t="str">
        <f t="shared" si="9"/>
        <v/>
      </c>
      <c r="BO33" s="38" t="str">
        <f t="shared" si="10"/>
        <v/>
      </c>
      <c r="BP33" s="38" t="str">
        <f t="shared" si="11"/>
        <v/>
      </c>
      <c r="BQ33" s="38" t="str">
        <f t="shared" si="12"/>
        <v/>
      </c>
    </row>
    <row r="34" spans="1:69" ht="15.6" x14ac:dyDescent="0.3">
      <c r="A34" s="124" t="s">
        <v>265</v>
      </c>
      <c r="B34" s="397">
        <f>IF(ISBLANK(HLOOKUP($F$25,spelerslijsten!$B$1:$J$22,12,FALSE)),"",HLOOKUP($F$25,spelerslijsten!$B$1:$J$22,12,FALSE))</f>
        <v>7</v>
      </c>
      <c r="C34" s="398"/>
      <c r="D34" s="121"/>
      <c r="E34" s="122" t="str">
        <f>IF(ISBLANK(HLOOKUP($F$25,spelerslijsten!$B$1:$J$22,11,FALSE)),"",HLOOKUP($F$25,spelerslijsten!$B$1:$J$22,11,FALSE))</f>
        <v>Wout Reininga</v>
      </c>
      <c r="F34" s="12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08">
        <f t="shared" si="23"/>
        <v>0</v>
      </c>
      <c r="W34" s="109" t="str">
        <f t="shared" si="24"/>
        <v/>
      </c>
      <c r="X34" s="110" t="str">
        <f t="shared" si="25"/>
        <v/>
      </c>
      <c r="Y34" s="103" t="str">
        <f t="shared" si="26"/>
        <v/>
      </c>
      <c r="Z34" s="111"/>
      <c r="AA34" s="112"/>
      <c r="AB34" s="113" t="str">
        <f t="shared" si="16"/>
        <v>-</v>
      </c>
      <c r="AC34" s="112"/>
      <c r="AD34" s="114"/>
      <c r="AE34" s="115"/>
      <c r="AF34" s="115"/>
      <c r="AG34" s="116"/>
      <c r="AH34" s="117"/>
      <c r="AI34" s="117"/>
      <c r="AJ34" s="342"/>
      <c r="AK34" s="343"/>
      <c r="AL34" s="346"/>
      <c r="AM34" s="347"/>
      <c r="AN34" s="118"/>
      <c r="AO34" s="101" t="str">
        <f t="shared" si="19"/>
        <v/>
      </c>
      <c r="AP34" s="113" t="str">
        <f t="shared" si="20"/>
        <v>-</v>
      </c>
      <c r="AQ34" s="119"/>
      <c r="AR34" s="103" t="str">
        <f t="shared" si="21"/>
        <v/>
      </c>
      <c r="AT34" s="38" t="str">
        <f t="shared" si="27"/>
        <v>B7</v>
      </c>
      <c r="AU34" s="38">
        <f t="shared" si="18"/>
        <v>0</v>
      </c>
      <c r="AY34" s="38" t="str">
        <f t="shared" si="1"/>
        <v/>
      </c>
      <c r="AZ34" s="38" t="str">
        <f t="shared" si="2"/>
        <v>0</v>
      </c>
      <c r="BA34" s="38" t="str">
        <f t="shared" si="3"/>
        <v>0</v>
      </c>
      <c r="BB34" s="38" t="str">
        <f t="shared" si="4"/>
        <v>0</v>
      </c>
      <c r="BC34" s="38">
        <f t="shared" si="5"/>
        <v>0</v>
      </c>
      <c r="BD34" s="38">
        <f t="shared" si="6"/>
        <v>0</v>
      </c>
      <c r="BL34" s="38" t="str">
        <f t="shared" si="7"/>
        <v/>
      </c>
      <c r="BM34" s="38" t="str">
        <f t="shared" si="8"/>
        <v/>
      </c>
      <c r="BN34" s="38" t="str">
        <f t="shared" si="9"/>
        <v/>
      </c>
      <c r="BO34" s="38" t="str">
        <f t="shared" si="10"/>
        <v/>
      </c>
      <c r="BP34" s="38" t="str">
        <f t="shared" si="11"/>
        <v/>
      </c>
      <c r="BQ34" s="38" t="str">
        <f t="shared" si="12"/>
        <v/>
      </c>
    </row>
    <row r="35" spans="1:69" ht="15.6" x14ac:dyDescent="0.3">
      <c r="A35" s="124" t="s">
        <v>265</v>
      </c>
      <c r="B35" s="397">
        <f>IF(ISBLANK(HLOOKUP($F$25,spelerslijsten!$B$1:$J$22,14,FALSE)),"",HLOOKUP($F$25,spelerslijsten!$B$1:$J$22,14,FALSE))</f>
        <v>8</v>
      </c>
      <c r="C35" s="398"/>
      <c r="D35" s="121"/>
      <c r="E35" s="122" t="str">
        <f>IF(ISBLANK(HLOOKUP($F$25,spelerslijsten!$B$1:$J$22,13,FALSE)),"",HLOOKUP($F$25,spelerslijsten!$B$1:$J$22,13,FALSE))</f>
        <v>Romy Hoed-Venterink</v>
      </c>
      <c r="F35" s="12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08">
        <f t="shared" si="23"/>
        <v>3</v>
      </c>
      <c r="W35" s="109" t="str">
        <f t="shared" si="24"/>
        <v/>
      </c>
      <c r="X35" s="110" t="str">
        <f t="shared" si="25"/>
        <v/>
      </c>
      <c r="Y35" s="103" t="str">
        <f t="shared" si="26"/>
        <v/>
      </c>
      <c r="Z35" s="111"/>
      <c r="AA35" s="112"/>
      <c r="AB35" s="113" t="str">
        <f t="shared" si="16"/>
        <v>-</v>
      </c>
      <c r="AC35" s="112"/>
      <c r="AD35" s="114"/>
      <c r="AE35" s="115"/>
      <c r="AF35" s="115"/>
      <c r="AG35" s="116"/>
      <c r="AH35" s="117"/>
      <c r="AI35" s="117"/>
      <c r="AJ35" s="342"/>
      <c r="AK35" s="343"/>
      <c r="AL35" s="346"/>
      <c r="AM35" s="347"/>
      <c r="AN35" s="118"/>
      <c r="AO35" s="101" t="str">
        <f t="shared" si="19"/>
        <v/>
      </c>
      <c r="AP35" s="113" t="str">
        <f t="shared" si="20"/>
        <v>-</v>
      </c>
      <c r="AQ35" s="119"/>
      <c r="AR35" s="103" t="str">
        <f t="shared" si="21"/>
        <v/>
      </c>
      <c r="AT35" s="38" t="str">
        <f t="shared" si="27"/>
        <v>B8</v>
      </c>
      <c r="AU35" s="38">
        <f t="shared" si="18"/>
        <v>0</v>
      </c>
      <c r="AY35" s="38" t="str">
        <f t="shared" si="1"/>
        <v/>
      </c>
      <c r="AZ35" s="38" t="str">
        <f t="shared" si="2"/>
        <v>0</v>
      </c>
      <c r="BA35" s="38" t="str">
        <f t="shared" si="3"/>
        <v>0</v>
      </c>
      <c r="BB35" s="38" t="str">
        <f t="shared" si="4"/>
        <v>0</v>
      </c>
      <c r="BC35" s="38">
        <f t="shared" si="5"/>
        <v>0</v>
      </c>
      <c r="BD35" s="38">
        <f t="shared" si="6"/>
        <v>0</v>
      </c>
      <c r="BL35" s="38" t="str">
        <f t="shared" si="7"/>
        <v/>
      </c>
      <c r="BM35" s="38" t="str">
        <f t="shared" si="8"/>
        <v/>
      </c>
      <c r="BN35" s="38" t="str">
        <f t="shared" si="9"/>
        <v/>
      </c>
      <c r="BO35" s="38" t="str">
        <f t="shared" si="10"/>
        <v/>
      </c>
      <c r="BP35" s="38" t="str">
        <f t="shared" si="11"/>
        <v/>
      </c>
      <c r="BQ35" s="38" t="str">
        <f t="shared" si="12"/>
        <v/>
      </c>
    </row>
    <row r="36" spans="1:69" ht="15.6" x14ac:dyDescent="0.3">
      <c r="A36" s="124" t="s">
        <v>265</v>
      </c>
      <c r="B36" s="397">
        <f>IF(ISBLANK(HLOOKUP($F$25,spelerslijsten!$B$1:$J$22,16,FALSE)),"",HLOOKUP($F$25,spelerslijsten!$B$1:$J$22,16,FALSE))</f>
        <v>9</v>
      </c>
      <c r="C36" s="398"/>
      <c r="D36" s="121"/>
      <c r="E36" s="122" t="str">
        <f>IF(ISBLANK(HLOOKUP($F$25,spelerslijsten!$B$1:$J$22,15,FALSE)),"",HLOOKUP($F$25,spelerslijsten!$B$1:$J$22,15,FALSE))</f>
        <v>Marieke van Namen</v>
      </c>
      <c r="F36" s="12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08">
        <f t="shared" si="23"/>
        <v>0</v>
      </c>
      <c r="W36" s="109" t="str">
        <f t="shared" si="24"/>
        <v/>
      </c>
      <c r="X36" s="110" t="str">
        <f t="shared" si="25"/>
        <v/>
      </c>
      <c r="Y36" s="103" t="str">
        <f t="shared" si="26"/>
        <v/>
      </c>
      <c r="Z36" s="111"/>
      <c r="AA36" s="112"/>
      <c r="AB36" s="113" t="str">
        <f t="shared" si="16"/>
        <v>-</v>
      </c>
      <c r="AC36" s="112"/>
      <c r="AD36" s="114"/>
      <c r="AE36" s="115"/>
      <c r="AF36" s="115"/>
      <c r="AG36" s="116"/>
      <c r="AH36" s="117"/>
      <c r="AI36" s="117"/>
      <c r="AJ36" s="342"/>
      <c r="AK36" s="343"/>
      <c r="AL36" s="346"/>
      <c r="AM36" s="347"/>
      <c r="AN36" s="118"/>
      <c r="AO36" s="101" t="str">
        <f t="shared" si="19"/>
        <v/>
      </c>
      <c r="AP36" s="113" t="str">
        <f t="shared" si="20"/>
        <v>-</v>
      </c>
      <c r="AQ36" s="119"/>
      <c r="AR36" s="103" t="str">
        <f t="shared" si="21"/>
        <v/>
      </c>
      <c r="AT36" s="38" t="str">
        <f t="shared" si="27"/>
        <v>B9</v>
      </c>
      <c r="AU36" s="38">
        <f t="shared" si="18"/>
        <v>0</v>
      </c>
      <c r="AY36" s="38" t="str">
        <f t="shared" si="1"/>
        <v/>
      </c>
      <c r="AZ36" s="38" t="str">
        <f t="shared" si="2"/>
        <v>0</v>
      </c>
      <c r="BA36" s="38" t="str">
        <f t="shared" si="3"/>
        <v>0</v>
      </c>
      <c r="BB36" s="38" t="str">
        <f t="shared" si="4"/>
        <v>0</v>
      </c>
      <c r="BC36" s="38">
        <f t="shared" si="5"/>
        <v>0</v>
      </c>
      <c r="BD36" s="38">
        <f t="shared" si="6"/>
        <v>0</v>
      </c>
      <c r="BL36" s="38" t="str">
        <f t="shared" si="7"/>
        <v/>
      </c>
      <c r="BM36" s="38" t="str">
        <f t="shared" si="8"/>
        <v/>
      </c>
      <c r="BN36" s="38" t="str">
        <f t="shared" si="9"/>
        <v/>
      </c>
      <c r="BO36" s="38" t="str">
        <f t="shared" si="10"/>
        <v/>
      </c>
      <c r="BP36" s="38" t="str">
        <f t="shared" si="11"/>
        <v/>
      </c>
      <c r="BQ36" s="38" t="str">
        <f t="shared" si="12"/>
        <v/>
      </c>
    </row>
    <row r="37" spans="1:69" ht="15.6" x14ac:dyDescent="0.3">
      <c r="A37" s="124" t="s">
        <v>265</v>
      </c>
      <c r="B37" s="397">
        <f>IF(ISBLANK(HLOOKUP($F$25,spelerslijsten!$B$1:$J$22,18,FALSE)),"",HLOOKUP($F$25,spelerslijsten!$B$1:$J$22,18,FALSE))</f>
        <v>10</v>
      </c>
      <c r="C37" s="398"/>
      <c r="D37" s="121"/>
      <c r="E37" s="122" t="str">
        <f>IF(ISBLANK(HLOOKUP($F$25,spelerslijsten!$B$1:$J$22,17,FALSE)),"",HLOOKUP($F$25,spelerslijsten!$B$1:$J$22,17,FALSE))</f>
        <v>Manon Dekkers</v>
      </c>
      <c r="F37" s="12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08">
        <f t="shared" si="23"/>
        <v>3</v>
      </c>
      <c r="W37" s="109" t="str">
        <f t="shared" si="24"/>
        <v/>
      </c>
      <c r="X37" s="110" t="str">
        <f t="shared" si="25"/>
        <v/>
      </c>
      <c r="Y37" s="103" t="str">
        <f t="shared" si="26"/>
        <v/>
      </c>
      <c r="Z37" s="111"/>
      <c r="AA37" s="112"/>
      <c r="AB37" s="113" t="str">
        <f t="shared" si="16"/>
        <v>-</v>
      </c>
      <c r="AC37" s="112"/>
      <c r="AD37" s="114"/>
      <c r="AE37" s="115"/>
      <c r="AF37" s="115"/>
      <c r="AG37" s="116"/>
      <c r="AH37" s="117"/>
      <c r="AI37" s="117"/>
      <c r="AJ37" s="342"/>
      <c r="AK37" s="343"/>
      <c r="AL37" s="346"/>
      <c r="AM37" s="347"/>
      <c r="AN37" s="118"/>
      <c r="AO37" s="101" t="str">
        <f t="shared" si="19"/>
        <v/>
      </c>
      <c r="AP37" s="113" t="str">
        <f t="shared" si="20"/>
        <v>-</v>
      </c>
      <c r="AQ37" s="119"/>
      <c r="AR37" s="103" t="str">
        <f t="shared" si="21"/>
        <v/>
      </c>
      <c r="AT37" s="38" t="str">
        <f t="shared" si="27"/>
        <v>B10</v>
      </c>
      <c r="AU37" s="38">
        <f t="shared" si="18"/>
        <v>0</v>
      </c>
      <c r="AY37" s="38" t="str">
        <f t="shared" si="1"/>
        <v/>
      </c>
      <c r="AZ37" s="38" t="str">
        <f t="shared" si="2"/>
        <v>0</v>
      </c>
      <c r="BA37" s="38" t="str">
        <f t="shared" si="3"/>
        <v>0</v>
      </c>
      <c r="BB37" s="38" t="str">
        <f t="shared" si="4"/>
        <v>0</v>
      </c>
      <c r="BC37" s="38">
        <f t="shared" si="5"/>
        <v>0</v>
      </c>
      <c r="BD37" s="38">
        <f t="shared" si="6"/>
        <v>0</v>
      </c>
      <c r="BL37" s="38" t="str">
        <f t="shared" si="7"/>
        <v/>
      </c>
      <c r="BM37" s="38" t="str">
        <f t="shared" si="8"/>
        <v/>
      </c>
      <c r="BN37" s="38" t="str">
        <f t="shared" si="9"/>
        <v/>
      </c>
      <c r="BO37" s="38" t="str">
        <f t="shared" si="10"/>
        <v/>
      </c>
      <c r="BP37" s="38" t="str">
        <f t="shared" si="11"/>
        <v/>
      </c>
      <c r="BQ37" s="38" t="str">
        <f t="shared" si="12"/>
        <v/>
      </c>
    </row>
    <row r="38" spans="1:69" ht="15.6" x14ac:dyDescent="0.3">
      <c r="A38" s="124" t="s">
        <v>265</v>
      </c>
      <c r="B38" s="397">
        <f>IF(ISBLANK(HLOOKUP($F$25,spelerslijsten!$B$1:$J$22,20,FALSE)),"",HLOOKUP($F$25,spelerslijsten!$B$1:$J$22,20,FALSE))</f>
        <v>11</v>
      </c>
      <c r="C38" s="398"/>
      <c r="D38" s="121"/>
      <c r="E38" s="122" t="str">
        <f>IF(ISBLANK(HLOOKUP($F$25,spelerslijsten!$B$1:$J$22,19,FALSE)),"",HLOOKUP($F$25,spelerslijsten!$B$1:$J$22,19,FALSE))</f>
        <v>Celine van de Heuvel</v>
      </c>
      <c r="F38" s="12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08">
        <f t="shared" si="23"/>
        <v>1</v>
      </c>
      <c r="W38" s="109" t="str">
        <f t="shared" si="24"/>
        <v/>
      </c>
      <c r="X38" s="110" t="str">
        <f t="shared" si="25"/>
        <v/>
      </c>
      <c r="Y38" s="103" t="str">
        <f t="shared" si="26"/>
        <v/>
      </c>
      <c r="Z38" s="111"/>
      <c r="AA38" s="112"/>
      <c r="AB38" s="113" t="str">
        <f t="shared" si="16"/>
        <v>-</v>
      </c>
      <c r="AC38" s="112"/>
      <c r="AD38" s="114"/>
      <c r="AE38" s="115"/>
      <c r="AF38" s="115"/>
      <c r="AG38" s="116"/>
      <c r="AH38" s="117"/>
      <c r="AI38" s="117"/>
      <c r="AJ38" s="342"/>
      <c r="AK38" s="343"/>
      <c r="AL38" s="346"/>
      <c r="AM38" s="347"/>
      <c r="AN38" s="118"/>
      <c r="AO38" s="101" t="str">
        <f t="shared" si="19"/>
        <v/>
      </c>
      <c r="AP38" s="113" t="str">
        <f t="shared" si="20"/>
        <v>-</v>
      </c>
      <c r="AQ38" s="119"/>
      <c r="AR38" s="103" t="str">
        <f t="shared" si="21"/>
        <v/>
      </c>
      <c r="AT38" s="38" t="str">
        <f t="shared" si="27"/>
        <v>B11</v>
      </c>
      <c r="AU38" s="38">
        <f t="shared" si="18"/>
        <v>0</v>
      </c>
      <c r="AY38" s="38" t="str">
        <f t="shared" si="1"/>
        <v/>
      </c>
      <c r="AZ38" s="38" t="str">
        <f t="shared" si="2"/>
        <v>0</v>
      </c>
      <c r="BA38" s="38" t="str">
        <f t="shared" si="3"/>
        <v>0</v>
      </c>
      <c r="BB38" s="38" t="str">
        <f t="shared" si="4"/>
        <v>0</v>
      </c>
      <c r="BC38" s="38">
        <f t="shared" si="5"/>
        <v>0</v>
      </c>
      <c r="BD38" s="38">
        <f t="shared" si="6"/>
        <v>0</v>
      </c>
      <c r="BL38" s="38" t="str">
        <f t="shared" si="7"/>
        <v/>
      </c>
      <c r="BM38" s="38" t="str">
        <f t="shared" si="8"/>
        <v/>
      </c>
      <c r="BN38" s="38" t="str">
        <f t="shared" si="9"/>
        <v/>
      </c>
      <c r="BO38" s="38" t="str">
        <f t="shared" si="10"/>
        <v/>
      </c>
      <c r="BP38" s="38" t="str">
        <f t="shared" si="11"/>
        <v/>
      </c>
      <c r="BQ38" s="38" t="str">
        <f t="shared" si="12"/>
        <v/>
      </c>
    </row>
    <row r="39" spans="1:69" ht="15.6" x14ac:dyDescent="0.3">
      <c r="A39" s="125"/>
      <c r="B39" s="397" t="str">
        <f>IF(ISBLANK(HLOOKUP($F$25,spelerslijsten!$B$1:$J$22,22,FALSE)),"",HLOOKUP($F$25,spelerslijsten!$B$1:$J$22,22,FALSE))</f>
        <v/>
      </c>
      <c r="C39" s="398"/>
      <c r="D39" s="126"/>
      <c r="E39" s="259" t="str">
        <f>IF(ISBLANK(HLOOKUP($F$25,spelerslijsten!$B$1:$J$22,21,FALSE)),"",HLOOKUP($F$25,spelerslijsten!$B$1:$J$22,21,FALSE))</f>
        <v/>
      </c>
      <c r="F39" s="126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08">
        <f t="shared" si="23"/>
        <v>0</v>
      </c>
      <c r="W39" s="109" t="str">
        <f t="shared" si="24"/>
        <v/>
      </c>
      <c r="X39" s="110" t="str">
        <f t="shared" si="25"/>
        <v/>
      </c>
      <c r="Y39" s="103" t="str">
        <f t="shared" si="26"/>
        <v/>
      </c>
      <c r="Z39" s="111"/>
      <c r="AA39" s="112"/>
      <c r="AB39" s="113" t="str">
        <f t="shared" si="16"/>
        <v>-</v>
      </c>
      <c r="AC39" s="112"/>
      <c r="AD39" s="114"/>
      <c r="AE39" s="115"/>
      <c r="AF39" s="115"/>
      <c r="AG39" s="116"/>
      <c r="AH39" s="117"/>
      <c r="AI39" s="117"/>
      <c r="AJ39" s="342"/>
      <c r="AK39" s="343"/>
      <c r="AL39" s="346"/>
      <c r="AM39" s="347"/>
      <c r="AN39" s="118"/>
      <c r="AO39" s="101" t="str">
        <f t="shared" si="19"/>
        <v/>
      </c>
      <c r="AP39" s="113" t="str">
        <f t="shared" si="20"/>
        <v>-</v>
      </c>
      <c r="AQ39" s="119"/>
      <c r="AR39" s="103" t="str">
        <f t="shared" si="21"/>
        <v/>
      </c>
      <c r="AT39" s="38" t="str">
        <f t="shared" si="27"/>
        <v>B</v>
      </c>
      <c r="AU39" s="38">
        <f t="shared" si="18"/>
        <v>0</v>
      </c>
      <c r="AY39" s="38" t="str">
        <f t="shared" si="1"/>
        <v/>
      </c>
      <c r="AZ39" s="38" t="str">
        <f t="shared" si="2"/>
        <v>0</v>
      </c>
      <c r="BA39" s="38" t="str">
        <f t="shared" si="3"/>
        <v>0</v>
      </c>
      <c r="BB39" s="38" t="str">
        <f t="shared" si="4"/>
        <v>0</v>
      </c>
      <c r="BC39" s="38">
        <f t="shared" si="5"/>
        <v>0</v>
      </c>
      <c r="BD39" s="38">
        <f t="shared" si="6"/>
        <v>0</v>
      </c>
      <c r="BL39" s="38" t="str">
        <f t="shared" si="7"/>
        <v/>
      </c>
      <c r="BM39" s="38" t="str">
        <f t="shared" si="8"/>
        <v/>
      </c>
      <c r="BN39" s="38" t="str">
        <f t="shared" si="9"/>
        <v/>
      </c>
      <c r="BO39" s="38" t="str">
        <f t="shared" si="10"/>
        <v/>
      </c>
      <c r="BP39" s="38" t="str">
        <f t="shared" si="11"/>
        <v/>
      </c>
      <c r="BQ39" s="38" t="str">
        <f t="shared" si="12"/>
        <v/>
      </c>
    </row>
    <row r="40" spans="1:69" ht="16.2" thickBot="1" x14ac:dyDescent="0.35">
      <c r="A40" s="71" t="s">
        <v>67</v>
      </c>
      <c r="B40" s="72"/>
      <c r="C40" s="72"/>
      <c r="D40" s="72"/>
      <c r="E40" s="72"/>
      <c r="F40" s="72"/>
      <c r="G40" s="72"/>
      <c r="H40" s="72"/>
      <c r="I40" s="399">
        <f>HLOOKUP(F25,spelerslijsten!B1:J25,25,FALSE)</f>
        <v>2</v>
      </c>
      <c r="J40" s="400"/>
      <c r="K40" s="74" t="s">
        <v>23</v>
      </c>
      <c r="L40" s="72"/>
      <c r="M40" s="72"/>
      <c r="N40" s="129" t="str">
        <f>HLOOKUP(F25,spelerslijsten!B1:J25,23,FALSE)</f>
        <v>Niels Venterink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30"/>
      <c r="Z40" s="111"/>
      <c r="AA40" s="112"/>
      <c r="AB40" s="113" t="str">
        <f t="shared" si="16"/>
        <v>-</v>
      </c>
      <c r="AC40" s="112"/>
      <c r="AD40" s="114"/>
      <c r="AE40" s="115"/>
      <c r="AF40" s="115"/>
      <c r="AG40" s="116"/>
      <c r="AH40" s="117"/>
      <c r="AI40" s="117"/>
      <c r="AJ40" s="342"/>
      <c r="AK40" s="343"/>
      <c r="AL40" s="346"/>
      <c r="AM40" s="347"/>
      <c r="AN40" s="118"/>
      <c r="AO40" s="101" t="str">
        <f t="shared" si="19"/>
        <v/>
      </c>
      <c r="AP40" s="113" t="str">
        <f t="shared" si="20"/>
        <v>-</v>
      </c>
      <c r="AQ40" s="119"/>
      <c r="AR40" s="103" t="str">
        <f t="shared" si="21"/>
        <v/>
      </c>
      <c r="AY40" s="38" t="str">
        <f t="shared" si="1"/>
        <v/>
      </c>
      <c r="AZ40" s="38" t="str">
        <f t="shared" si="2"/>
        <v>0</v>
      </c>
      <c r="BA40" s="38" t="str">
        <f t="shared" si="3"/>
        <v>0</v>
      </c>
      <c r="BB40" s="38" t="str">
        <f t="shared" si="4"/>
        <v>0</v>
      </c>
      <c r="BC40" s="38">
        <f t="shared" si="5"/>
        <v>0</v>
      </c>
      <c r="BD40" s="38">
        <f t="shared" si="6"/>
        <v>0</v>
      </c>
      <c r="BL40" s="38" t="str">
        <f t="shared" si="7"/>
        <v/>
      </c>
      <c r="BM40" s="38" t="str">
        <f t="shared" si="8"/>
        <v/>
      </c>
      <c r="BN40" s="38" t="str">
        <f t="shared" si="9"/>
        <v/>
      </c>
      <c r="BO40" s="38" t="str">
        <f t="shared" si="10"/>
        <v/>
      </c>
      <c r="BP40" s="38" t="str">
        <f t="shared" si="11"/>
        <v/>
      </c>
      <c r="BQ40" s="38" t="str">
        <f t="shared" si="12"/>
        <v/>
      </c>
    </row>
    <row r="41" spans="1:69" ht="15.6" x14ac:dyDescent="0.3">
      <c r="A41" s="157" t="s">
        <v>68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158"/>
      <c r="Z41" s="111"/>
      <c r="AA41" s="112"/>
      <c r="AB41" s="113" t="str">
        <f t="shared" si="16"/>
        <v>-</v>
      </c>
      <c r="AC41" s="112"/>
      <c r="AD41" s="114"/>
      <c r="AE41" s="115"/>
      <c r="AF41" s="115"/>
      <c r="AG41" s="116"/>
      <c r="AH41" s="117"/>
      <c r="AI41" s="117"/>
      <c r="AJ41" s="342"/>
      <c r="AK41" s="343"/>
      <c r="AL41" s="346"/>
      <c r="AM41" s="347"/>
      <c r="AN41" s="118"/>
      <c r="AO41" s="101" t="str">
        <f t="shared" si="19"/>
        <v/>
      </c>
      <c r="AP41" s="113" t="str">
        <f t="shared" si="20"/>
        <v>-</v>
      </c>
      <c r="AQ41" s="119"/>
      <c r="AR41" s="103" t="str">
        <f t="shared" si="21"/>
        <v/>
      </c>
      <c r="AY41" s="38" t="str">
        <f t="shared" si="1"/>
        <v/>
      </c>
      <c r="AZ41" s="38" t="str">
        <f t="shared" si="2"/>
        <v>0</v>
      </c>
      <c r="BA41" s="38" t="str">
        <f t="shared" si="3"/>
        <v>0</v>
      </c>
      <c r="BB41" s="38" t="str">
        <f t="shared" si="4"/>
        <v>0</v>
      </c>
      <c r="BC41" s="38">
        <f t="shared" si="5"/>
        <v>0</v>
      </c>
      <c r="BD41" s="38">
        <f t="shared" si="6"/>
        <v>0</v>
      </c>
      <c r="BL41" s="38" t="str">
        <f t="shared" si="7"/>
        <v/>
      </c>
      <c r="BM41" s="38" t="str">
        <f t="shared" si="8"/>
        <v/>
      </c>
      <c r="BN41" s="38" t="str">
        <f t="shared" si="9"/>
        <v/>
      </c>
      <c r="BO41" s="38" t="str">
        <f t="shared" si="10"/>
        <v/>
      </c>
      <c r="BP41" s="38" t="str">
        <f t="shared" si="11"/>
        <v/>
      </c>
      <c r="BQ41" s="38" t="str">
        <f t="shared" si="12"/>
        <v/>
      </c>
    </row>
    <row r="42" spans="1:69" ht="15.6" x14ac:dyDescent="0.3">
      <c r="A42" s="15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60"/>
      <c r="Z42" s="111"/>
      <c r="AA42" s="112"/>
      <c r="AB42" s="113" t="str">
        <f t="shared" si="16"/>
        <v>-</v>
      </c>
      <c r="AC42" s="112"/>
      <c r="AD42" s="114"/>
      <c r="AE42" s="115"/>
      <c r="AF42" s="115"/>
      <c r="AG42" s="116"/>
      <c r="AH42" s="117"/>
      <c r="AI42" s="117"/>
      <c r="AJ42" s="342"/>
      <c r="AK42" s="343"/>
      <c r="AL42" s="346"/>
      <c r="AM42" s="347"/>
      <c r="AN42" s="118"/>
      <c r="AO42" s="101" t="str">
        <f t="shared" si="19"/>
        <v/>
      </c>
      <c r="AP42" s="113" t="str">
        <f t="shared" si="20"/>
        <v>-</v>
      </c>
      <c r="AQ42" s="119"/>
      <c r="AR42" s="103" t="str">
        <f t="shared" si="21"/>
        <v/>
      </c>
      <c r="AY42" s="38" t="str">
        <f t="shared" si="1"/>
        <v/>
      </c>
      <c r="AZ42" s="38" t="str">
        <f t="shared" si="2"/>
        <v>0</v>
      </c>
      <c r="BA42" s="38" t="str">
        <f t="shared" si="3"/>
        <v>0</v>
      </c>
      <c r="BB42" s="38" t="str">
        <f t="shared" si="4"/>
        <v>0</v>
      </c>
      <c r="BC42" s="38">
        <f t="shared" si="5"/>
        <v>0</v>
      </c>
      <c r="BD42" s="38">
        <f t="shared" si="6"/>
        <v>0</v>
      </c>
      <c r="BL42" s="38" t="str">
        <f t="shared" si="7"/>
        <v/>
      </c>
      <c r="BM42" s="38" t="str">
        <f t="shared" si="8"/>
        <v/>
      </c>
      <c r="BN42" s="38" t="str">
        <f t="shared" si="9"/>
        <v/>
      </c>
      <c r="BO42" s="38" t="str">
        <f t="shared" si="10"/>
        <v/>
      </c>
      <c r="BP42" s="38" t="str">
        <f t="shared" si="11"/>
        <v/>
      </c>
      <c r="BQ42" s="38" t="str">
        <f t="shared" si="12"/>
        <v/>
      </c>
    </row>
    <row r="43" spans="1:69" ht="15.6" x14ac:dyDescent="0.3">
      <c r="A43" s="16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62"/>
      <c r="Z43" s="111"/>
      <c r="AA43" s="112"/>
      <c r="AB43" s="113" t="str">
        <f t="shared" si="16"/>
        <v>-</v>
      </c>
      <c r="AC43" s="112"/>
      <c r="AD43" s="114"/>
      <c r="AE43" s="115"/>
      <c r="AF43" s="115"/>
      <c r="AG43" s="116"/>
      <c r="AH43" s="117"/>
      <c r="AI43" s="117"/>
      <c r="AJ43" s="342"/>
      <c r="AK43" s="343"/>
      <c r="AL43" s="346"/>
      <c r="AM43" s="347"/>
      <c r="AN43" s="118"/>
      <c r="AO43" s="101" t="str">
        <f t="shared" si="19"/>
        <v/>
      </c>
      <c r="AP43" s="113" t="str">
        <f t="shared" si="20"/>
        <v>-</v>
      </c>
      <c r="AQ43" s="119"/>
      <c r="AR43" s="103" t="str">
        <f t="shared" si="21"/>
        <v/>
      </c>
      <c r="AY43" s="38" t="str">
        <f t="shared" si="1"/>
        <v/>
      </c>
      <c r="AZ43" s="38" t="str">
        <f t="shared" si="2"/>
        <v>0</v>
      </c>
      <c r="BA43" s="38" t="str">
        <f t="shared" si="3"/>
        <v>0</v>
      </c>
      <c r="BB43" s="38" t="str">
        <f t="shared" si="4"/>
        <v>0</v>
      </c>
      <c r="BC43" s="38">
        <f t="shared" si="5"/>
        <v>0</v>
      </c>
      <c r="BD43" s="38">
        <f t="shared" si="6"/>
        <v>0</v>
      </c>
      <c r="BL43" s="38" t="str">
        <f t="shared" si="7"/>
        <v/>
      </c>
      <c r="BM43" s="38" t="str">
        <f t="shared" si="8"/>
        <v/>
      </c>
      <c r="BN43" s="38" t="str">
        <f t="shared" si="9"/>
        <v/>
      </c>
      <c r="BO43" s="38" t="str">
        <f t="shared" si="10"/>
        <v/>
      </c>
      <c r="BP43" s="38" t="str">
        <f t="shared" si="11"/>
        <v/>
      </c>
      <c r="BQ43" s="38" t="str">
        <f t="shared" si="12"/>
        <v/>
      </c>
    </row>
    <row r="44" spans="1:69" ht="15.6" x14ac:dyDescent="0.3">
      <c r="A44" s="16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62"/>
      <c r="Z44" s="111"/>
      <c r="AA44" s="112"/>
      <c r="AB44" s="113" t="str">
        <f t="shared" si="16"/>
        <v>-</v>
      </c>
      <c r="AC44" s="112"/>
      <c r="AD44" s="114"/>
      <c r="AE44" s="115"/>
      <c r="AF44" s="115"/>
      <c r="AG44" s="116"/>
      <c r="AH44" s="117"/>
      <c r="AI44" s="117"/>
      <c r="AJ44" s="342"/>
      <c r="AK44" s="343"/>
      <c r="AL44" s="346"/>
      <c r="AM44" s="347"/>
      <c r="AN44" s="118"/>
      <c r="AO44" s="101" t="str">
        <f t="shared" si="19"/>
        <v/>
      </c>
      <c r="AP44" s="113" t="str">
        <f t="shared" si="20"/>
        <v>-</v>
      </c>
      <c r="AQ44" s="119"/>
      <c r="AR44" s="103" t="str">
        <f t="shared" si="21"/>
        <v/>
      </c>
      <c r="AY44" s="38" t="str">
        <f t="shared" si="1"/>
        <v/>
      </c>
      <c r="AZ44" s="38" t="str">
        <f t="shared" si="2"/>
        <v>0</v>
      </c>
      <c r="BA44" s="38" t="str">
        <f t="shared" si="3"/>
        <v>0</v>
      </c>
      <c r="BB44" s="38" t="str">
        <f t="shared" si="4"/>
        <v>0</v>
      </c>
      <c r="BC44" s="38">
        <f t="shared" si="5"/>
        <v>0</v>
      </c>
      <c r="BD44" s="38">
        <f t="shared" si="6"/>
        <v>0</v>
      </c>
      <c r="BL44" s="38" t="str">
        <f t="shared" si="7"/>
        <v/>
      </c>
      <c r="BM44" s="38" t="str">
        <f t="shared" si="8"/>
        <v/>
      </c>
      <c r="BN44" s="38" t="str">
        <f t="shared" si="9"/>
        <v/>
      </c>
      <c r="BO44" s="38" t="str">
        <f t="shared" si="10"/>
        <v/>
      </c>
      <c r="BP44" s="38" t="str">
        <f t="shared" si="11"/>
        <v/>
      </c>
      <c r="BQ44" s="38" t="str">
        <f t="shared" si="12"/>
        <v/>
      </c>
    </row>
    <row r="45" spans="1:69" ht="15.6" x14ac:dyDescent="0.3">
      <c r="A45" s="16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62"/>
      <c r="Z45" s="111"/>
      <c r="AA45" s="112"/>
      <c r="AB45" s="113" t="str">
        <f>+AB44</f>
        <v>-</v>
      </c>
      <c r="AC45" s="112"/>
      <c r="AD45" s="114"/>
      <c r="AE45" s="115"/>
      <c r="AF45" s="115"/>
      <c r="AG45" s="116"/>
      <c r="AH45" s="117"/>
      <c r="AI45" s="117"/>
      <c r="AJ45" s="342"/>
      <c r="AK45" s="343"/>
      <c r="AL45" s="346"/>
      <c r="AM45" s="347"/>
      <c r="AN45" s="118"/>
      <c r="AO45" s="101" t="str">
        <f t="shared" si="19"/>
        <v/>
      </c>
      <c r="AP45" s="113" t="str">
        <f t="shared" si="20"/>
        <v>-</v>
      </c>
      <c r="AQ45" s="119"/>
      <c r="AR45" s="103" t="str">
        <f t="shared" si="21"/>
        <v/>
      </c>
      <c r="AY45" s="38" t="str">
        <f t="shared" si="1"/>
        <v/>
      </c>
      <c r="AZ45" s="38" t="str">
        <f t="shared" si="2"/>
        <v>0</v>
      </c>
      <c r="BA45" s="38" t="str">
        <f t="shared" si="3"/>
        <v>0</v>
      </c>
      <c r="BB45" s="38" t="str">
        <f t="shared" si="4"/>
        <v>0</v>
      </c>
      <c r="BC45" s="38">
        <f t="shared" si="5"/>
        <v>0</v>
      </c>
      <c r="BD45" s="38">
        <f t="shared" si="6"/>
        <v>0</v>
      </c>
      <c r="BL45" s="38" t="str">
        <f t="shared" si="7"/>
        <v/>
      </c>
      <c r="BM45" s="38" t="str">
        <f t="shared" si="8"/>
        <v/>
      </c>
      <c r="BN45" s="38" t="str">
        <f t="shared" si="9"/>
        <v/>
      </c>
      <c r="BO45" s="38" t="str">
        <f t="shared" si="10"/>
        <v/>
      </c>
      <c r="BP45" s="38" t="str">
        <f t="shared" si="11"/>
        <v/>
      </c>
      <c r="BQ45" s="38" t="str">
        <f t="shared" si="12"/>
        <v/>
      </c>
    </row>
    <row r="46" spans="1:69" ht="16.2" thickBot="1" x14ac:dyDescent="0.35">
      <c r="A46" s="163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64"/>
      <c r="Z46" s="165"/>
      <c r="AA46" s="166"/>
      <c r="AB46" s="167" t="str">
        <f>+AB45</f>
        <v>-</v>
      </c>
      <c r="AC46" s="166"/>
      <c r="AD46" s="168"/>
      <c r="AE46" s="169"/>
      <c r="AF46" s="169"/>
      <c r="AG46" s="170"/>
      <c r="AH46" s="171"/>
      <c r="AI46" s="171"/>
      <c r="AJ46" s="344"/>
      <c r="AK46" s="345"/>
      <c r="AL46" s="352"/>
      <c r="AM46" s="353"/>
      <c r="AN46" s="172"/>
      <c r="AO46" s="101" t="str">
        <f t="shared" si="19"/>
        <v/>
      </c>
      <c r="AP46" s="113" t="str">
        <f t="shared" si="20"/>
        <v>-</v>
      </c>
      <c r="AQ46" s="119"/>
      <c r="AR46" s="103" t="str">
        <f t="shared" si="21"/>
        <v/>
      </c>
      <c r="AY46" s="38" t="str">
        <f t="shared" si="1"/>
        <v/>
      </c>
      <c r="AZ46" s="38" t="str">
        <f t="shared" si="2"/>
        <v>0</v>
      </c>
      <c r="BA46" s="38" t="str">
        <f t="shared" si="3"/>
        <v>0</v>
      </c>
      <c r="BB46" s="38" t="str">
        <f t="shared" si="4"/>
        <v>0</v>
      </c>
      <c r="BC46" s="38">
        <f t="shared" si="5"/>
        <v>0</v>
      </c>
      <c r="BD46" s="38">
        <f t="shared" si="6"/>
        <v>0</v>
      </c>
      <c r="BL46" s="38" t="str">
        <f t="shared" si="7"/>
        <v/>
      </c>
      <c r="BM46" s="38" t="str">
        <f t="shared" si="8"/>
        <v/>
      </c>
      <c r="BN46" s="38" t="str">
        <f t="shared" si="9"/>
        <v/>
      </c>
      <c r="BO46" s="38" t="str">
        <f t="shared" si="10"/>
        <v/>
      </c>
      <c r="BP46" s="38" t="str">
        <f t="shared" si="11"/>
        <v/>
      </c>
      <c r="BQ46" s="38" t="str">
        <f t="shared" si="12"/>
        <v/>
      </c>
    </row>
    <row r="47" spans="1:69" ht="18.600000000000001" thickBot="1" x14ac:dyDescent="0.35">
      <c r="A47" s="173" t="s">
        <v>69</v>
      </c>
      <c r="B47" s="174"/>
      <c r="C47" s="174"/>
      <c r="D47" s="174"/>
      <c r="E47" s="174"/>
      <c r="F47" s="174"/>
      <c r="G47" s="174">
        <f>IF(AO52&gt;AR52,AO52,IF(AO52=AR52,AO52,AR52))</f>
        <v>7</v>
      </c>
      <c r="H47" s="175" t="s">
        <v>16</v>
      </c>
      <c r="I47" s="174">
        <f>IF(AO52&gt;AR52,AR52,IF(AO52=AR52,AR52,AO52))</f>
        <v>2</v>
      </c>
      <c r="J47" s="174"/>
      <c r="K47" s="174" t="s">
        <v>70</v>
      </c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6" t="str">
        <f>BE52</f>
        <v>BLAUW</v>
      </c>
      <c r="W47" s="174"/>
      <c r="X47" s="174"/>
      <c r="Y47" s="174"/>
      <c r="Z47" s="174"/>
      <c r="AA47" s="174"/>
      <c r="AB47" s="174"/>
      <c r="AC47" s="174"/>
      <c r="AD47" s="177"/>
      <c r="AE47" s="178" t="s">
        <v>71</v>
      </c>
      <c r="AF47" s="179"/>
      <c r="AG47" s="179"/>
      <c r="AH47" s="179"/>
      <c r="AI47" s="179"/>
      <c r="AJ47" s="174"/>
      <c r="AK47" s="174"/>
      <c r="AL47" s="403" t="s">
        <v>177</v>
      </c>
      <c r="AM47" s="404"/>
      <c r="AN47" s="404"/>
      <c r="AO47" s="404"/>
      <c r="AP47" s="404"/>
      <c r="AQ47" s="404"/>
      <c r="AR47" s="405"/>
    </row>
    <row r="48" spans="1:69" x14ac:dyDescent="0.3">
      <c r="A48" s="180" t="s">
        <v>72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2"/>
      <c r="P48" s="183" t="s">
        <v>72</v>
      </c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2"/>
      <c r="AC48" s="181"/>
      <c r="AD48" s="184"/>
      <c r="AE48" s="185" t="s">
        <v>72</v>
      </c>
      <c r="AF48" s="186"/>
      <c r="AG48" s="186"/>
      <c r="AH48" s="186"/>
      <c r="AI48" s="186"/>
      <c r="AJ48" s="181"/>
      <c r="AK48" s="181"/>
      <c r="AL48" s="181"/>
      <c r="AM48" s="181"/>
      <c r="AN48" s="181"/>
      <c r="AO48" s="186"/>
      <c r="AP48" s="181"/>
      <c r="AQ48" s="181"/>
      <c r="AR48" s="187"/>
    </row>
    <row r="49" spans="1:57" x14ac:dyDescent="0.3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/>
      <c r="P49" s="191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90"/>
      <c r="AC49" s="189"/>
      <c r="AD49" s="192"/>
      <c r="AE49" s="193"/>
      <c r="AF49" s="193"/>
      <c r="AG49" s="193"/>
      <c r="AH49" s="193"/>
      <c r="AI49" s="193"/>
      <c r="AJ49" s="189"/>
      <c r="AK49" s="189"/>
      <c r="AL49" s="189"/>
      <c r="AM49" s="189"/>
      <c r="AN49" s="189"/>
      <c r="AO49" s="193"/>
      <c r="AP49" s="189"/>
      <c r="AQ49" s="189"/>
      <c r="AR49" s="194"/>
    </row>
    <row r="50" spans="1:57" ht="14.4" thickBot="1" x14ac:dyDescent="0.3">
      <c r="A50" s="195" t="s">
        <v>73</v>
      </c>
      <c r="B50" s="196"/>
      <c r="C50" s="196"/>
      <c r="D50" s="196"/>
      <c r="E50" s="196"/>
      <c r="F50" s="196"/>
      <c r="G50" s="196"/>
      <c r="H50" s="197" t="s">
        <v>74</v>
      </c>
      <c r="I50" s="196"/>
      <c r="J50" s="196"/>
      <c r="K50" s="196"/>
      <c r="L50" s="196"/>
      <c r="M50" s="196"/>
      <c r="N50" s="196"/>
      <c r="O50" s="198"/>
      <c r="P50" s="199" t="s">
        <v>73</v>
      </c>
      <c r="Q50" s="196"/>
      <c r="R50" s="196"/>
      <c r="S50" s="196"/>
      <c r="T50" s="196"/>
      <c r="U50" s="196"/>
      <c r="V50" s="196"/>
      <c r="W50" s="197" t="s">
        <v>75</v>
      </c>
      <c r="X50" s="196"/>
      <c r="Y50" s="196"/>
      <c r="Z50" s="196"/>
      <c r="AA50" s="196"/>
      <c r="AB50" s="198"/>
      <c r="AC50" s="196"/>
      <c r="AD50" s="200"/>
      <c r="AE50" s="201" t="s">
        <v>25</v>
      </c>
      <c r="AF50" s="202"/>
      <c r="AG50" s="202"/>
      <c r="AH50" s="202"/>
      <c r="AI50" s="202"/>
      <c r="AJ50" s="203"/>
      <c r="AK50" s="203"/>
      <c r="AL50" s="203"/>
      <c r="AM50" s="203"/>
      <c r="AN50" s="203"/>
      <c r="AO50" s="202"/>
      <c r="AP50" s="203"/>
      <c r="AQ50" s="203"/>
      <c r="AR50" s="204"/>
    </row>
    <row r="52" spans="1:57" hidden="1" x14ac:dyDescent="0.3">
      <c r="AO52" s="40">
        <f>IF(AO13="","",MAX(AO13:AO46))</f>
        <v>2</v>
      </c>
      <c r="AR52" s="40">
        <f>IF(AR13="","",MAX(AR13:AR46))</f>
        <v>7</v>
      </c>
      <c r="AS52" s="38" t="str">
        <f>IF(AO13="","0","1")</f>
        <v>1</v>
      </c>
      <c r="BE52" s="38" t="str">
        <f>IF(AS52="0","WIT/BLAUW",IF(AO52&gt;AR52,"WIT",IF(AO52=AR52,"GELIJK","BLAUW")))</f>
        <v>BLAUW</v>
      </c>
    </row>
  </sheetData>
  <sheetProtection sheet="1" objects="1" scenarios="1"/>
  <mergeCells count="107">
    <mergeCell ref="B14:C14"/>
    <mergeCell ref="B15:C15"/>
    <mergeCell ref="B16:C16"/>
    <mergeCell ref="AJ17:AK17"/>
    <mergeCell ref="G4:I4"/>
    <mergeCell ref="K4:M4"/>
    <mergeCell ref="AH6:AR6"/>
    <mergeCell ref="F10:Y12"/>
    <mergeCell ref="Z10:AD12"/>
    <mergeCell ref="AJ10:AK12"/>
    <mergeCell ref="AL10:AM12"/>
    <mergeCell ref="AN10:AR11"/>
    <mergeCell ref="A11:D12"/>
    <mergeCell ref="AN12:AO12"/>
    <mergeCell ref="AQ12:AR12"/>
    <mergeCell ref="B30:C30"/>
    <mergeCell ref="B18:C18"/>
    <mergeCell ref="B19:C19"/>
    <mergeCell ref="B20:C20"/>
    <mergeCell ref="B21:C21"/>
    <mergeCell ref="B22:C22"/>
    <mergeCell ref="B23:C23"/>
    <mergeCell ref="AJ18:AK18"/>
    <mergeCell ref="AJ19:AK19"/>
    <mergeCell ref="AJ20:AK20"/>
    <mergeCell ref="AJ21:AK21"/>
    <mergeCell ref="AJ29:AK29"/>
    <mergeCell ref="AJ30:AK30"/>
    <mergeCell ref="B37:C37"/>
    <mergeCell ref="B38:C38"/>
    <mergeCell ref="B39:C39"/>
    <mergeCell ref="I40:J40"/>
    <mergeCell ref="B31:C31"/>
    <mergeCell ref="B32:C32"/>
    <mergeCell ref="B33:C33"/>
    <mergeCell ref="B34:C34"/>
    <mergeCell ref="B35:C35"/>
    <mergeCell ref="B36:C36"/>
    <mergeCell ref="AL26:AM26"/>
    <mergeCell ref="AL17:AM17"/>
    <mergeCell ref="AL18:AM18"/>
    <mergeCell ref="AL19:AM19"/>
    <mergeCell ref="AL20:AM20"/>
    <mergeCell ref="AL21:AM21"/>
    <mergeCell ref="D3:N3"/>
    <mergeCell ref="AL13:AM13"/>
    <mergeCell ref="AL14:AM14"/>
    <mergeCell ref="AL15:AM15"/>
    <mergeCell ref="AL16:AM16"/>
    <mergeCell ref="AJ13:AK13"/>
    <mergeCell ref="AJ14:AK14"/>
    <mergeCell ref="AJ15:AK15"/>
    <mergeCell ref="AJ16:AK16"/>
    <mergeCell ref="I24:J24"/>
    <mergeCell ref="F25:Y28"/>
    <mergeCell ref="A26:D28"/>
    <mergeCell ref="AL27:AM27"/>
    <mergeCell ref="AL28:AM28"/>
    <mergeCell ref="AJ27:AK27"/>
    <mergeCell ref="AJ28:AK28"/>
    <mergeCell ref="B17:C17"/>
    <mergeCell ref="D4:E4"/>
    <mergeCell ref="BF4:BI6"/>
    <mergeCell ref="AL47:AR47"/>
    <mergeCell ref="AL44:AM44"/>
    <mergeCell ref="AL45:AM45"/>
    <mergeCell ref="AL46:AM46"/>
    <mergeCell ref="AL39:AM39"/>
    <mergeCell ref="AL40:AM40"/>
    <mergeCell ref="AL41:AM41"/>
    <mergeCell ref="AL42:AM42"/>
    <mergeCell ref="AL43:AM43"/>
    <mergeCell ref="AL34:AM34"/>
    <mergeCell ref="AL35:AM35"/>
    <mergeCell ref="AL36:AM36"/>
    <mergeCell ref="AL37:AM37"/>
    <mergeCell ref="AL38:AM38"/>
    <mergeCell ref="AL29:AM29"/>
    <mergeCell ref="AL30:AM30"/>
    <mergeCell ref="AL31:AM31"/>
    <mergeCell ref="AL32:AM32"/>
    <mergeCell ref="AL33:AM33"/>
    <mergeCell ref="AL22:AM22"/>
    <mergeCell ref="AL23:AM23"/>
    <mergeCell ref="AL24:AM24"/>
    <mergeCell ref="AL25:AM25"/>
    <mergeCell ref="AJ31:AK31"/>
    <mergeCell ref="AJ32:AK32"/>
    <mergeCell ref="AJ33:AK33"/>
    <mergeCell ref="AJ22:AK22"/>
    <mergeCell ref="AJ23:AK23"/>
    <mergeCell ref="AJ24:AK24"/>
    <mergeCell ref="AJ25:AK25"/>
    <mergeCell ref="AJ26:AK26"/>
    <mergeCell ref="AJ44:AK44"/>
    <mergeCell ref="AJ45:AK45"/>
    <mergeCell ref="AJ46:AK46"/>
    <mergeCell ref="AJ39:AK39"/>
    <mergeCell ref="AJ40:AK40"/>
    <mergeCell ref="AJ41:AK41"/>
    <mergeCell ref="AJ42:AK42"/>
    <mergeCell ref="AJ43:AK43"/>
    <mergeCell ref="AJ34:AK34"/>
    <mergeCell ref="AJ35:AK35"/>
    <mergeCell ref="AJ36:AK36"/>
    <mergeCell ref="AJ37:AK37"/>
    <mergeCell ref="AJ38:AK38"/>
  </mergeCells>
  <dataValidations count="1">
    <dataValidation type="list" allowBlank="1" showInputMessage="1" showErrorMessage="1" sqref="AL47:AR47" xr:uid="{7F2BE787-DF38-47DB-83C0-7DBC41437B42}">
      <formula1>"JA/NEE,JA,NEE"</formula1>
    </dataValidation>
  </dataValidations>
  <hyperlinks>
    <hyperlink ref="BF4:BI6" location="Wedstrijden!A1" display="Wedstrijdschema" xr:uid="{FB9AECB7-F078-43F9-99FB-5FC7ED695885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6"/>
  <dimension ref="A1:IV52"/>
  <sheetViews>
    <sheetView workbookViewId="0">
      <selection activeCell="BF4" sqref="BF4:BI6"/>
    </sheetView>
  </sheetViews>
  <sheetFormatPr defaultRowHeight="13.8" x14ac:dyDescent="0.3"/>
  <cols>
    <col min="1" max="6" width="2.33203125" style="38" customWidth="1"/>
    <col min="7" max="7" width="3.33203125" style="38" customWidth="1"/>
    <col min="8" max="8" width="2.33203125" style="38" customWidth="1"/>
    <col min="9" max="9" width="3.33203125" style="38" customWidth="1"/>
    <col min="10" max="25" width="2.33203125" style="38" customWidth="1"/>
    <col min="26" max="28" width="2.109375" style="38" customWidth="1"/>
    <col min="29" max="29" width="3" style="38" customWidth="1"/>
    <col min="30" max="30" width="2.109375" style="39" customWidth="1"/>
    <col min="31" max="35" width="2.33203125" style="40" customWidth="1"/>
    <col min="36" max="39" width="2.33203125" style="38" customWidth="1"/>
    <col min="40" max="40" width="2.109375" style="38" customWidth="1"/>
    <col min="41" max="41" width="3.33203125" style="40" customWidth="1"/>
    <col min="42" max="43" width="2.109375" style="38" customWidth="1"/>
    <col min="44" max="44" width="3.33203125" style="40" customWidth="1"/>
    <col min="45" max="45" width="9.109375" style="38"/>
    <col min="46" max="56" width="9.109375" style="38" hidden="1" customWidth="1"/>
    <col min="57" max="62" width="9.109375" style="38"/>
    <col min="63" max="69" width="0" style="38" hidden="1" customWidth="1"/>
    <col min="70" max="256" width="9.109375" style="38"/>
    <col min="257" max="281" width="2.33203125" style="38" customWidth="1"/>
    <col min="282" max="286" width="2.109375" style="38" customWidth="1"/>
    <col min="287" max="295" width="2.33203125" style="38" customWidth="1"/>
    <col min="296" max="300" width="2.109375" style="38" customWidth="1"/>
    <col min="301" max="512" width="9.109375" style="38"/>
    <col min="513" max="537" width="2.33203125" style="38" customWidth="1"/>
    <col min="538" max="542" width="2.109375" style="38" customWidth="1"/>
    <col min="543" max="551" width="2.33203125" style="38" customWidth="1"/>
    <col min="552" max="556" width="2.109375" style="38" customWidth="1"/>
    <col min="557" max="768" width="9.109375" style="38"/>
    <col min="769" max="793" width="2.33203125" style="38" customWidth="1"/>
    <col min="794" max="798" width="2.109375" style="38" customWidth="1"/>
    <col min="799" max="807" width="2.33203125" style="38" customWidth="1"/>
    <col min="808" max="812" width="2.109375" style="38" customWidth="1"/>
    <col min="813" max="1024" width="9.109375" style="38"/>
    <col min="1025" max="1049" width="2.33203125" style="38" customWidth="1"/>
    <col min="1050" max="1054" width="2.109375" style="38" customWidth="1"/>
    <col min="1055" max="1063" width="2.33203125" style="38" customWidth="1"/>
    <col min="1064" max="1068" width="2.109375" style="38" customWidth="1"/>
    <col min="1069" max="1280" width="9.109375" style="38"/>
    <col min="1281" max="1305" width="2.33203125" style="38" customWidth="1"/>
    <col min="1306" max="1310" width="2.109375" style="38" customWidth="1"/>
    <col min="1311" max="1319" width="2.33203125" style="38" customWidth="1"/>
    <col min="1320" max="1324" width="2.109375" style="38" customWidth="1"/>
    <col min="1325" max="1536" width="9.109375" style="38"/>
    <col min="1537" max="1561" width="2.33203125" style="38" customWidth="1"/>
    <col min="1562" max="1566" width="2.109375" style="38" customWidth="1"/>
    <col min="1567" max="1575" width="2.33203125" style="38" customWidth="1"/>
    <col min="1576" max="1580" width="2.109375" style="38" customWidth="1"/>
    <col min="1581" max="1792" width="9.109375" style="38"/>
    <col min="1793" max="1817" width="2.33203125" style="38" customWidth="1"/>
    <col min="1818" max="1822" width="2.109375" style="38" customWidth="1"/>
    <col min="1823" max="1831" width="2.33203125" style="38" customWidth="1"/>
    <col min="1832" max="1836" width="2.109375" style="38" customWidth="1"/>
    <col min="1837" max="2048" width="9.109375" style="38"/>
    <col min="2049" max="2073" width="2.33203125" style="38" customWidth="1"/>
    <col min="2074" max="2078" width="2.109375" style="38" customWidth="1"/>
    <col min="2079" max="2087" width="2.33203125" style="38" customWidth="1"/>
    <col min="2088" max="2092" width="2.109375" style="38" customWidth="1"/>
    <col min="2093" max="2304" width="9.109375" style="38"/>
    <col min="2305" max="2329" width="2.33203125" style="38" customWidth="1"/>
    <col min="2330" max="2334" width="2.109375" style="38" customWidth="1"/>
    <col min="2335" max="2343" width="2.33203125" style="38" customWidth="1"/>
    <col min="2344" max="2348" width="2.109375" style="38" customWidth="1"/>
    <col min="2349" max="2560" width="9.109375" style="38"/>
    <col min="2561" max="2585" width="2.33203125" style="38" customWidth="1"/>
    <col min="2586" max="2590" width="2.109375" style="38" customWidth="1"/>
    <col min="2591" max="2599" width="2.33203125" style="38" customWidth="1"/>
    <col min="2600" max="2604" width="2.109375" style="38" customWidth="1"/>
    <col min="2605" max="2816" width="9.109375" style="38"/>
    <col min="2817" max="2841" width="2.33203125" style="38" customWidth="1"/>
    <col min="2842" max="2846" width="2.109375" style="38" customWidth="1"/>
    <col min="2847" max="2855" width="2.33203125" style="38" customWidth="1"/>
    <col min="2856" max="2860" width="2.109375" style="38" customWidth="1"/>
    <col min="2861" max="3072" width="9.109375" style="38"/>
    <col min="3073" max="3097" width="2.33203125" style="38" customWidth="1"/>
    <col min="3098" max="3102" width="2.109375" style="38" customWidth="1"/>
    <col min="3103" max="3111" width="2.33203125" style="38" customWidth="1"/>
    <col min="3112" max="3116" width="2.109375" style="38" customWidth="1"/>
    <col min="3117" max="3328" width="9.109375" style="38"/>
    <col min="3329" max="3353" width="2.33203125" style="38" customWidth="1"/>
    <col min="3354" max="3358" width="2.109375" style="38" customWidth="1"/>
    <col min="3359" max="3367" width="2.33203125" style="38" customWidth="1"/>
    <col min="3368" max="3372" width="2.109375" style="38" customWidth="1"/>
    <col min="3373" max="3584" width="9.109375" style="38"/>
    <col min="3585" max="3609" width="2.33203125" style="38" customWidth="1"/>
    <col min="3610" max="3614" width="2.109375" style="38" customWidth="1"/>
    <col min="3615" max="3623" width="2.33203125" style="38" customWidth="1"/>
    <col min="3624" max="3628" width="2.109375" style="38" customWidth="1"/>
    <col min="3629" max="3840" width="9.109375" style="38"/>
    <col min="3841" max="3865" width="2.33203125" style="38" customWidth="1"/>
    <col min="3866" max="3870" width="2.109375" style="38" customWidth="1"/>
    <col min="3871" max="3879" width="2.33203125" style="38" customWidth="1"/>
    <col min="3880" max="3884" width="2.109375" style="38" customWidth="1"/>
    <col min="3885" max="4096" width="9.109375" style="38"/>
    <col min="4097" max="4121" width="2.33203125" style="38" customWidth="1"/>
    <col min="4122" max="4126" width="2.109375" style="38" customWidth="1"/>
    <col min="4127" max="4135" width="2.33203125" style="38" customWidth="1"/>
    <col min="4136" max="4140" width="2.109375" style="38" customWidth="1"/>
    <col min="4141" max="4352" width="9.109375" style="38"/>
    <col min="4353" max="4377" width="2.33203125" style="38" customWidth="1"/>
    <col min="4378" max="4382" width="2.109375" style="38" customWidth="1"/>
    <col min="4383" max="4391" width="2.33203125" style="38" customWidth="1"/>
    <col min="4392" max="4396" width="2.109375" style="38" customWidth="1"/>
    <col min="4397" max="4608" width="9.109375" style="38"/>
    <col min="4609" max="4633" width="2.33203125" style="38" customWidth="1"/>
    <col min="4634" max="4638" width="2.109375" style="38" customWidth="1"/>
    <col min="4639" max="4647" width="2.33203125" style="38" customWidth="1"/>
    <col min="4648" max="4652" width="2.109375" style="38" customWidth="1"/>
    <col min="4653" max="4864" width="9.109375" style="38"/>
    <col min="4865" max="4889" width="2.33203125" style="38" customWidth="1"/>
    <col min="4890" max="4894" width="2.109375" style="38" customWidth="1"/>
    <col min="4895" max="4903" width="2.33203125" style="38" customWidth="1"/>
    <col min="4904" max="4908" width="2.109375" style="38" customWidth="1"/>
    <col min="4909" max="5120" width="9.109375" style="38"/>
    <col min="5121" max="5145" width="2.33203125" style="38" customWidth="1"/>
    <col min="5146" max="5150" width="2.109375" style="38" customWidth="1"/>
    <col min="5151" max="5159" width="2.33203125" style="38" customWidth="1"/>
    <col min="5160" max="5164" width="2.109375" style="38" customWidth="1"/>
    <col min="5165" max="5376" width="9.109375" style="38"/>
    <col min="5377" max="5401" width="2.33203125" style="38" customWidth="1"/>
    <col min="5402" max="5406" width="2.109375" style="38" customWidth="1"/>
    <col min="5407" max="5415" width="2.33203125" style="38" customWidth="1"/>
    <col min="5416" max="5420" width="2.109375" style="38" customWidth="1"/>
    <col min="5421" max="5632" width="9.109375" style="38"/>
    <col min="5633" max="5657" width="2.33203125" style="38" customWidth="1"/>
    <col min="5658" max="5662" width="2.109375" style="38" customWidth="1"/>
    <col min="5663" max="5671" width="2.33203125" style="38" customWidth="1"/>
    <col min="5672" max="5676" width="2.109375" style="38" customWidth="1"/>
    <col min="5677" max="5888" width="9.109375" style="38"/>
    <col min="5889" max="5913" width="2.33203125" style="38" customWidth="1"/>
    <col min="5914" max="5918" width="2.109375" style="38" customWidth="1"/>
    <col min="5919" max="5927" width="2.33203125" style="38" customWidth="1"/>
    <col min="5928" max="5932" width="2.109375" style="38" customWidth="1"/>
    <col min="5933" max="6144" width="9.109375" style="38"/>
    <col min="6145" max="6169" width="2.33203125" style="38" customWidth="1"/>
    <col min="6170" max="6174" width="2.109375" style="38" customWidth="1"/>
    <col min="6175" max="6183" width="2.33203125" style="38" customWidth="1"/>
    <col min="6184" max="6188" width="2.109375" style="38" customWidth="1"/>
    <col min="6189" max="6400" width="9.109375" style="38"/>
    <col min="6401" max="6425" width="2.33203125" style="38" customWidth="1"/>
    <col min="6426" max="6430" width="2.109375" style="38" customWidth="1"/>
    <col min="6431" max="6439" width="2.33203125" style="38" customWidth="1"/>
    <col min="6440" max="6444" width="2.109375" style="38" customWidth="1"/>
    <col min="6445" max="6656" width="9.109375" style="38"/>
    <col min="6657" max="6681" width="2.33203125" style="38" customWidth="1"/>
    <col min="6682" max="6686" width="2.109375" style="38" customWidth="1"/>
    <col min="6687" max="6695" width="2.33203125" style="38" customWidth="1"/>
    <col min="6696" max="6700" width="2.109375" style="38" customWidth="1"/>
    <col min="6701" max="6912" width="9.109375" style="38"/>
    <col min="6913" max="6937" width="2.33203125" style="38" customWidth="1"/>
    <col min="6938" max="6942" width="2.109375" style="38" customWidth="1"/>
    <col min="6943" max="6951" width="2.33203125" style="38" customWidth="1"/>
    <col min="6952" max="6956" width="2.109375" style="38" customWidth="1"/>
    <col min="6957" max="7168" width="9.109375" style="38"/>
    <col min="7169" max="7193" width="2.33203125" style="38" customWidth="1"/>
    <col min="7194" max="7198" width="2.109375" style="38" customWidth="1"/>
    <col min="7199" max="7207" width="2.33203125" style="38" customWidth="1"/>
    <col min="7208" max="7212" width="2.109375" style="38" customWidth="1"/>
    <col min="7213" max="7424" width="9.109375" style="38"/>
    <col min="7425" max="7449" width="2.33203125" style="38" customWidth="1"/>
    <col min="7450" max="7454" width="2.109375" style="38" customWidth="1"/>
    <col min="7455" max="7463" width="2.33203125" style="38" customWidth="1"/>
    <col min="7464" max="7468" width="2.109375" style="38" customWidth="1"/>
    <col min="7469" max="7680" width="9.109375" style="38"/>
    <col min="7681" max="7705" width="2.33203125" style="38" customWidth="1"/>
    <col min="7706" max="7710" width="2.109375" style="38" customWidth="1"/>
    <col min="7711" max="7719" width="2.33203125" style="38" customWidth="1"/>
    <col min="7720" max="7724" width="2.109375" style="38" customWidth="1"/>
    <col min="7725" max="7936" width="9.109375" style="38"/>
    <col min="7937" max="7961" width="2.33203125" style="38" customWidth="1"/>
    <col min="7962" max="7966" width="2.109375" style="38" customWidth="1"/>
    <col min="7967" max="7975" width="2.33203125" style="38" customWidth="1"/>
    <col min="7976" max="7980" width="2.109375" style="38" customWidth="1"/>
    <col min="7981" max="8192" width="9.109375" style="38"/>
    <col min="8193" max="8217" width="2.33203125" style="38" customWidth="1"/>
    <col min="8218" max="8222" width="2.109375" style="38" customWidth="1"/>
    <col min="8223" max="8231" width="2.33203125" style="38" customWidth="1"/>
    <col min="8232" max="8236" width="2.109375" style="38" customWidth="1"/>
    <col min="8237" max="8448" width="9.109375" style="38"/>
    <col min="8449" max="8473" width="2.33203125" style="38" customWidth="1"/>
    <col min="8474" max="8478" width="2.109375" style="38" customWidth="1"/>
    <col min="8479" max="8487" width="2.33203125" style="38" customWidth="1"/>
    <col min="8488" max="8492" width="2.109375" style="38" customWidth="1"/>
    <col min="8493" max="8704" width="9.109375" style="38"/>
    <col min="8705" max="8729" width="2.33203125" style="38" customWidth="1"/>
    <col min="8730" max="8734" width="2.109375" style="38" customWidth="1"/>
    <col min="8735" max="8743" width="2.33203125" style="38" customWidth="1"/>
    <col min="8744" max="8748" width="2.109375" style="38" customWidth="1"/>
    <col min="8749" max="8960" width="9.109375" style="38"/>
    <col min="8961" max="8985" width="2.33203125" style="38" customWidth="1"/>
    <col min="8986" max="8990" width="2.109375" style="38" customWidth="1"/>
    <col min="8991" max="8999" width="2.33203125" style="38" customWidth="1"/>
    <col min="9000" max="9004" width="2.109375" style="38" customWidth="1"/>
    <col min="9005" max="9216" width="9.109375" style="38"/>
    <col min="9217" max="9241" width="2.33203125" style="38" customWidth="1"/>
    <col min="9242" max="9246" width="2.109375" style="38" customWidth="1"/>
    <col min="9247" max="9255" width="2.33203125" style="38" customWidth="1"/>
    <col min="9256" max="9260" width="2.109375" style="38" customWidth="1"/>
    <col min="9261" max="9472" width="9.109375" style="38"/>
    <col min="9473" max="9497" width="2.33203125" style="38" customWidth="1"/>
    <col min="9498" max="9502" width="2.109375" style="38" customWidth="1"/>
    <col min="9503" max="9511" width="2.33203125" style="38" customWidth="1"/>
    <col min="9512" max="9516" width="2.109375" style="38" customWidth="1"/>
    <col min="9517" max="9728" width="9.109375" style="38"/>
    <col min="9729" max="9753" width="2.33203125" style="38" customWidth="1"/>
    <col min="9754" max="9758" width="2.109375" style="38" customWidth="1"/>
    <col min="9759" max="9767" width="2.33203125" style="38" customWidth="1"/>
    <col min="9768" max="9772" width="2.109375" style="38" customWidth="1"/>
    <col min="9773" max="9984" width="9.109375" style="38"/>
    <col min="9985" max="10009" width="2.33203125" style="38" customWidth="1"/>
    <col min="10010" max="10014" width="2.109375" style="38" customWidth="1"/>
    <col min="10015" max="10023" width="2.33203125" style="38" customWidth="1"/>
    <col min="10024" max="10028" width="2.109375" style="38" customWidth="1"/>
    <col min="10029" max="10240" width="9.109375" style="38"/>
    <col min="10241" max="10265" width="2.33203125" style="38" customWidth="1"/>
    <col min="10266" max="10270" width="2.109375" style="38" customWidth="1"/>
    <col min="10271" max="10279" width="2.33203125" style="38" customWidth="1"/>
    <col min="10280" max="10284" width="2.109375" style="38" customWidth="1"/>
    <col min="10285" max="10496" width="9.109375" style="38"/>
    <col min="10497" max="10521" width="2.33203125" style="38" customWidth="1"/>
    <col min="10522" max="10526" width="2.109375" style="38" customWidth="1"/>
    <col min="10527" max="10535" width="2.33203125" style="38" customWidth="1"/>
    <col min="10536" max="10540" width="2.109375" style="38" customWidth="1"/>
    <col min="10541" max="10752" width="9.109375" style="38"/>
    <col min="10753" max="10777" width="2.33203125" style="38" customWidth="1"/>
    <col min="10778" max="10782" width="2.109375" style="38" customWidth="1"/>
    <col min="10783" max="10791" width="2.33203125" style="38" customWidth="1"/>
    <col min="10792" max="10796" width="2.109375" style="38" customWidth="1"/>
    <col min="10797" max="11008" width="9.109375" style="38"/>
    <col min="11009" max="11033" width="2.33203125" style="38" customWidth="1"/>
    <col min="11034" max="11038" width="2.109375" style="38" customWidth="1"/>
    <col min="11039" max="11047" width="2.33203125" style="38" customWidth="1"/>
    <col min="11048" max="11052" width="2.109375" style="38" customWidth="1"/>
    <col min="11053" max="11264" width="9.109375" style="38"/>
    <col min="11265" max="11289" width="2.33203125" style="38" customWidth="1"/>
    <col min="11290" max="11294" width="2.109375" style="38" customWidth="1"/>
    <col min="11295" max="11303" width="2.33203125" style="38" customWidth="1"/>
    <col min="11304" max="11308" width="2.109375" style="38" customWidth="1"/>
    <col min="11309" max="11520" width="9.109375" style="38"/>
    <col min="11521" max="11545" width="2.33203125" style="38" customWidth="1"/>
    <col min="11546" max="11550" width="2.109375" style="38" customWidth="1"/>
    <col min="11551" max="11559" width="2.33203125" style="38" customWidth="1"/>
    <col min="11560" max="11564" width="2.109375" style="38" customWidth="1"/>
    <col min="11565" max="11776" width="9.109375" style="38"/>
    <col min="11777" max="11801" width="2.33203125" style="38" customWidth="1"/>
    <col min="11802" max="11806" width="2.109375" style="38" customWidth="1"/>
    <col min="11807" max="11815" width="2.33203125" style="38" customWidth="1"/>
    <col min="11816" max="11820" width="2.109375" style="38" customWidth="1"/>
    <col min="11821" max="12032" width="9.109375" style="38"/>
    <col min="12033" max="12057" width="2.33203125" style="38" customWidth="1"/>
    <col min="12058" max="12062" width="2.109375" style="38" customWidth="1"/>
    <col min="12063" max="12071" width="2.33203125" style="38" customWidth="1"/>
    <col min="12072" max="12076" width="2.109375" style="38" customWidth="1"/>
    <col min="12077" max="12288" width="9.109375" style="38"/>
    <col min="12289" max="12313" width="2.33203125" style="38" customWidth="1"/>
    <col min="12314" max="12318" width="2.109375" style="38" customWidth="1"/>
    <col min="12319" max="12327" width="2.33203125" style="38" customWidth="1"/>
    <col min="12328" max="12332" width="2.109375" style="38" customWidth="1"/>
    <col min="12333" max="12544" width="9.109375" style="38"/>
    <col min="12545" max="12569" width="2.33203125" style="38" customWidth="1"/>
    <col min="12570" max="12574" width="2.109375" style="38" customWidth="1"/>
    <col min="12575" max="12583" width="2.33203125" style="38" customWidth="1"/>
    <col min="12584" max="12588" width="2.109375" style="38" customWidth="1"/>
    <col min="12589" max="12800" width="9.109375" style="38"/>
    <col min="12801" max="12825" width="2.33203125" style="38" customWidth="1"/>
    <col min="12826" max="12830" width="2.109375" style="38" customWidth="1"/>
    <col min="12831" max="12839" width="2.33203125" style="38" customWidth="1"/>
    <col min="12840" max="12844" width="2.109375" style="38" customWidth="1"/>
    <col min="12845" max="13056" width="9.109375" style="38"/>
    <col min="13057" max="13081" width="2.33203125" style="38" customWidth="1"/>
    <col min="13082" max="13086" width="2.109375" style="38" customWidth="1"/>
    <col min="13087" max="13095" width="2.33203125" style="38" customWidth="1"/>
    <col min="13096" max="13100" width="2.109375" style="38" customWidth="1"/>
    <col min="13101" max="13312" width="9.109375" style="38"/>
    <col min="13313" max="13337" width="2.33203125" style="38" customWidth="1"/>
    <col min="13338" max="13342" width="2.109375" style="38" customWidth="1"/>
    <col min="13343" max="13351" width="2.33203125" style="38" customWidth="1"/>
    <col min="13352" max="13356" width="2.109375" style="38" customWidth="1"/>
    <col min="13357" max="13568" width="9.109375" style="38"/>
    <col min="13569" max="13593" width="2.33203125" style="38" customWidth="1"/>
    <col min="13594" max="13598" width="2.109375" style="38" customWidth="1"/>
    <col min="13599" max="13607" width="2.33203125" style="38" customWidth="1"/>
    <col min="13608" max="13612" width="2.109375" style="38" customWidth="1"/>
    <col min="13613" max="13824" width="9.109375" style="38"/>
    <col min="13825" max="13849" width="2.33203125" style="38" customWidth="1"/>
    <col min="13850" max="13854" width="2.109375" style="38" customWidth="1"/>
    <col min="13855" max="13863" width="2.33203125" style="38" customWidth="1"/>
    <col min="13864" max="13868" width="2.109375" style="38" customWidth="1"/>
    <col min="13869" max="14080" width="9.109375" style="38"/>
    <col min="14081" max="14105" width="2.33203125" style="38" customWidth="1"/>
    <col min="14106" max="14110" width="2.109375" style="38" customWidth="1"/>
    <col min="14111" max="14119" width="2.33203125" style="38" customWidth="1"/>
    <col min="14120" max="14124" width="2.109375" style="38" customWidth="1"/>
    <col min="14125" max="14336" width="9.109375" style="38"/>
    <col min="14337" max="14361" width="2.33203125" style="38" customWidth="1"/>
    <col min="14362" max="14366" width="2.109375" style="38" customWidth="1"/>
    <col min="14367" max="14375" width="2.33203125" style="38" customWidth="1"/>
    <col min="14376" max="14380" width="2.109375" style="38" customWidth="1"/>
    <col min="14381" max="14592" width="9.109375" style="38"/>
    <col min="14593" max="14617" width="2.33203125" style="38" customWidth="1"/>
    <col min="14618" max="14622" width="2.109375" style="38" customWidth="1"/>
    <col min="14623" max="14631" width="2.33203125" style="38" customWidth="1"/>
    <col min="14632" max="14636" width="2.109375" style="38" customWidth="1"/>
    <col min="14637" max="14848" width="9.109375" style="38"/>
    <col min="14849" max="14873" width="2.33203125" style="38" customWidth="1"/>
    <col min="14874" max="14878" width="2.109375" style="38" customWidth="1"/>
    <col min="14879" max="14887" width="2.33203125" style="38" customWidth="1"/>
    <col min="14888" max="14892" width="2.109375" style="38" customWidth="1"/>
    <col min="14893" max="15104" width="9.109375" style="38"/>
    <col min="15105" max="15129" width="2.33203125" style="38" customWidth="1"/>
    <col min="15130" max="15134" width="2.109375" style="38" customWidth="1"/>
    <col min="15135" max="15143" width="2.33203125" style="38" customWidth="1"/>
    <col min="15144" max="15148" width="2.109375" style="38" customWidth="1"/>
    <col min="15149" max="15360" width="9.109375" style="38"/>
    <col min="15361" max="15385" width="2.33203125" style="38" customWidth="1"/>
    <col min="15386" max="15390" width="2.109375" style="38" customWidth="1"/>
    <col min="15391" max="15399" width="2.33203125" style="38" customWidth="1"/>
    <col min="15400" max="15404" width="2.109375" style="38" customWidth="1"/>
    <col min="15405" max="15616" width="9.109375" style="38"/>
    <col min="15617" max="15641" width="2.33203125" style="38" customWidth="1"/>
    <col min="15642" max="15646" width="2.109375" style="38" customWidth="1"/>
    <col min="15647" max="15655" width="2.33203125" style="38" customWidth="1"/>
    <col min="15656" max="15660" width="2.109375" style="38" customWidth="1"/>
    <col min="15661" max="15872" width="9.109375" style="38"/>
    <col min="15873" max="15897" width="2.33203125" style="38" customWidth="1"/>
    <col min="15898" max="15902" width="2.109375" style="38" customWidth="1"/>
    <col min="15903" max="15911" width="2.33203125" style="38" customWidth="1"/>
    <col min="15912" max="15916" width="2.109375" style="38" customWidth="1"/>
    <col min="15917" max="16128" width="9.109375" style="38"/>
    <col min="16129" max="16153" width="2.33203125" style="38" customWidth="1"/>
    <col min="16154" max="16158" width="2.109375" style="38" customWidth="1"/>
    <col min="16159" max="16167" width="2.33203125" style="38" customWidth="1"/>
    <col min="16168" max="16172" width="2.109375" style="38" customWidth="1"/>
    <col min="16173" max="16384" width="9.109375" style="38"/>
  </cols>
  <sheetData>
    <row r="1" spans="1:256" ht="20.399999999999999" x14ac:dyDescent="0.3">
      <c r="A1" s="37" t="s">
        <v>40</v>
      </c>
      <c r="AO1" s="41">
        <v>0</v>
      </c>
      <c r="AP1" s="42"/>
      <c r="AQ1" s="42"/>
      <c r="AR1" s="41">
        <v>0</v>
      </c>
      <c r="AV1" s="43">
        <v>1.3888888888888888E-2</v>
      </c>
    </row>
    <row r="2" spans="1:256" x14ac:dyDescent="0.3">
      <c r="A2" s="38" t="s">
        <v>42</v>
      </c>
      <c r="E2" s="38" t="s">
        <v>76</v>
      </c>
      <c r="P2" s="44" t="s">
        <v>22</v>
      </c>
      <c r="Q2" s="45"/>
      <c r="R2" s="45"/>
      <c r="S2" s="45"/>
      <c r="T2" s="45"/>
      <c r="U2" s="45"/>
      <c r="V2" s="45"/>
      <c r="W2" s="45" t="s">
        <v>3</v>
      </c>
      <c r="X2" s="45"/>
      <c r="Y2" s="46" t="s">
        <v>41</v>
      </c>
      <c r="Z2" s="45"/>
      <c r="AA2" s="45"/>
      <c r="AB2" s="45"/>
      <c r="AC2" s="45"/>
      <c r="AD2" s="47"/>
      <c r="AE2" s="48"/>
      <c r="AF2" s="48"/>
      <c r="AG2" s="49"/>
    </row>
    <row r="3" spans="1:256" ht="15" thickBot="1" x14ac:dyDescent="0.35">
      <c r="A3" s="38" t="s">
        <v>19</v>
      </c>
      <c r="D3" s="415">
        <f>Wedstrijden!I2</f>
        <v>45732</v>
      </c>
      <c r="E3" s="416"/>
      <c r="F3" s="416"/>
      <c r="G3" s="416"/>
      <c r="H3" s="416"/>
      <c r="I3" s="416"/>
      <c r="J3" s="416"/>
      <c r="K3" s="416"/>
      <c r="L3" s="416"/>
      <c r="M3" s="416"/>
      <c r="N3" s="417"/>
      <c r="P3" s="50" t="s">
        <v>18</v>
      </c>
      <c r="Q3" s="51" t="s">
        <v>43</v>
      </c>
      <c r="W3" s="38" t="s">
        <v>0</v>
      </c>
      <c r="Y3" s="51" t="s">
        <v>44</v>
      </c>
      <c r="AG3" s="52"/>
    </row>
    <row r="4" spans="1:256" x14ac:dyDescent="0.3">
      <c r="A4" s="38" t="s">
        <v>20</v>
      </c>
      <c r="D4" s="418">
        <v>15</v>
      </c>
      <c r="E4" s="418"/>
      <c r="F4" s="53"/>
      <c r="G4" s="419">
        <f>VLOOKUP(D4,Wedstrijden!A6:B57,2,0)</f>
        <v>0.65972222222222221</v>
      </c>
      <c r="H4" s="419"/>
      <c r="I4" s="419"/>
      <c r="J4" s="54" t="s">
        <v>16</v>
      </c>
      <c r="K4" s="419">
        <f>G4+AV1</f>
        <v>0.67361111111111105</v>
      </c>
      <c r="L4" s="419"/>
      <c r="M4" s="419"/>
      <c r="N4" s="53"/>
      <c r="P4" s="50" t="s">
        <v>17</v>
      </c>
      <c r="Q4" s="51" t="s">
        <v>45</v>
      </c>
      <c r="W4" s="38" t="s">
        <v>9</v>
      </c>
      <c r="Y4" s="51" t="s">
        <v>46</v>
      </c>
      <c r="AG4" s="52"/>
      <c r="BF4" s="406" t="s">
        <v>102</v>
      </c>
      <c r="BG4" s="407"/>
      <c r="BH4" s="407"/>
      <c r="BI4" s="408"/>
    </row>
    <row r="5" spans="1:256" x14ac:dyDescent="0.3">
      <c r="A5" s="38" t="s">
        <v>164</v>
      </c>
      <c r="D5" s="260" t="str">
        <f>VLOOKUP(D4,Wedstrijden!A6:D20,4,0)</f>
        <v>A</v>
      </c>
      <c r="P5" s="50" t="s">
        <v>10</v>
      </c>
      <c r="Q5" s="51" t="s">
        <v>47</v>
      </c>
      <c r="W5" s="38" t="s">
        <v>12</v>
      </c>
      <c r="Y5" s="51" t="s">
        <v>48</v>
      </c>
      <c r="AG5" s="52"/>
      <c r="BF5" s="409"/>
      <c r="BG5" s="410"/>
      <c r="BH5" s="410"/>
      <c r="BI5" s="411"/>
    </row>
    <row r="6" spans="1:256" ht="14.4" thickBot="1" x14ac:dyDescent="0.2">
      <c r="A6" s="38" t="s">
        <v>21</v>
      </c>
      <c r="D6" s="55" t="str">
        <f>Wedstrijden!K2</f>
        <v>Den Bosch</v>
      </c>
      <c r="P6" s="50" t="s">
        <v>11</v>
      </c>
      <c r="Q6" s="51" t="s">
        <v>49</v>
      </c>
      <c r="W6" s="38" t="s">
        <v>13</v>
      </c>
      <c r="Y6" s="51" t="s">
        <v>50</v>
      </c>
      <c r="AG6" s="52"/>
      <c r="AH6" s="354" t="s">
        <v>51</v>
      </c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BF6" s="412"/>
      <c r="BG6" s="413"/>
      <c r="BH6" s="413"/>
      <c r="BI6" s="414"/>
    </row>
    <row r="7" spans="1:256" x14ac:dyDescent="0.2">
      <c r="A7" s="56" t="s">
        <v>52</v>
      </c>
      <c r="B7" s="57"/>
      <c r="C7" s="57"/>
      <c r="D7" s="57"/>
      <c r="E7" s="58" t="s">
        <v>53</v>
      </c>
      <c r="F7" s="57"/>
      <c r="G7" s="59" t="str">
        <f>VLOOKUP(D4,Wedstrijden!A6:L57,5,0)</f>
        <v>Aqua Novio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 t="s">
        <v>54</v>
      </c>
      <c r="X7" s="57"/>
      <c r="Y7" s="57"/>
      <c r="Z7" s="58" t="s">
        <v>55</v>
      </c>
      <c r="AA7" s="58"/>
      <c r="AB7" s="57"/>
      <c r="AC7" s="59" t="str">
        <f>VLOOKUP(D4,Wedstrijden!A6:L57,9,0)</f>
        <v>Gesposs Geel</v>
      </c>
      <c r="AD7" s="60"/>
      <c r="AE7" s="61"/>
      <c r="AF7" s="61"/>
      <c r="AG7" s="61"/>
      <c r="AH7" s="61"/>
      <c r="AI7" s="61"/>
      <c r="AJ7" s="57"/>
      <c r="AK7" s="57"/>
      <c r="AL7" s="57"/>
      <c r="AM7" s="57"/>
      <c r="AN7" s="57"/>
      <c r="AO7" s="61"/>
      <c r="AP7" s="57"/>
      <c r="AQ7" s="57"/>
      <c r="AR7" s="62"/>
    </row>
    <row r="8" spans="1:256" x14ac:dyDescent="0.3">
      <c r="A8" s="63" t="s">
        <v>56</v>
      </c>
      <c r="B8" s="64"/>
      <c r="C8" s="64"/>
      <c r="D8" s="64"/>
      <c r="E8" s="64"/>
      <c r="F8" s="64"/>
      <c r="G8" s="64"/>
      <c r="H8" s="64"/>
      <c r="I8" s="64"/>
      <c r="J8" s="65" t="str">
        <f>VLOOKUP(D4,Wedstrijden!A6:P343,13,0)</f>
        <v>Martijn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 t="s">
        <v>57</v>
      </c>
      <c r="X8" s="64"/>
      <c r="Y8" s="64"/>
      <c r="Z8" s="66" t="str">
        <f>VLOOKUP(D4,Wedstrijden!A6:N170,14,0)</f>
        <v>Jos</v>
      </c>
      <c r="AA8" s="64"/>
      <c r="AB8" s="64"/>
      <c r="AC8" s="64"/>
      <c r="AD8" s="67"/>
      <c r="AE8" s="68"/>
      <c r="AF8" s="68"/>
      <c r="AG8" s="68"/>
      <c r="AH8" s="68"/>
      <c r="AI8" s="68"/>
      <c r="AJ8" s="69" t="s">
        <v>17</v>
      </c>
      <c r="AK8" s="64"/>
      <c r="AL8" s="64"/>
      <c r="AM8" s="64"/>
      <c r="AN8" s="64"/>
      <c r="AO8" s="68"/>
      <c r="AP8" s="64"/>
      <c r="AQ8" s="64"/>
      <c r="AR8" s="70"/>
    </row>
    <row r="9" spans="1:256" ht="14.4" thickBot="1" x14ac:dyDescent="0.35">
      <c r="A9" s="71" t="s">
        <v>58</v>
      </c>
      <c r="B9" s="72"/>
      <c r="C9" s="72"/>
      <c r="D9" s="72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 t="s">
        <v>59</v>
      </c>
      <c r="X9" s="72"/>
      <c r="Y9" s="72"/>
      <c r="Z9" s="72"/>
      <c r="AA9" s="72"/>
      <c r="AB9" s="73"/>
      <c r="AC9" s="73"/>
      <c r="AD9" s="75"/>
      <c r="AE9" s="76"/>
      <c r="AF9" s="76"/>
      <c r="AG9" s="76"/>
      <c r="AH9" s="76"/>
      <c r="AI9" s="76"/>
      <c r="AJ9" s="73"/>
      <c r="AK9" s="73"/>
      <c r="AL9" s="73"/>
      <c r="AM9" s="73"/>
      <c r="AN9" s="73"/>
      <c r="AO9" s="76"/>
      <c r="AP9" s="73"/>
      <c r="AQ9" s="73"/>
      <c r="AR9" s="77"/>
    </row>
    <row r="10" spans="1:256" ht="15" x14ac:dyDescent="0.3">
      <c r="A10" s="78" t="s">
        <v>60</v>
      </c>
      <c r="B10" s="79"/>
      <c r="C10" s="79"/>
      <c r="D10" s="79"/>
      <c r="E10" s="79"/>
      <c r="F10" s="356" t="str">
        <f>+G7</f>
        <v>Aqua Novio</v>
      </c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7"/>
      <c r="Z10" s="362" t="s">
        <v>8</v>
      </c>
      <c r="AA10" s="363"/>
      <c r="AB10" s="363"/>
      <c r="AC10" s="363"/>
      <c r="AD10" s="364"/>
      <c r="AE10" s="80"/>
      <c r="AF10" s="80"/>
      <c r="AG10" s="80"/>
      <c r="AH10" s="80" t="s">
        <v>61</v>
      </c>
      <c r="AI10" s="80" t="s">
        <v>61</v>
      </c>
      <c r="AJ10" s="371" t="s">
        <v>14</v>
      </c>
      <c r="AK10" s="372"/>
      <c r="AL10" s="377" t="s">
        <v>62</v>
      </c>
      <c r="AM10" s="378"/>
      <c r="AN10" s="383" t="s">
        <v>15</v>
      </c>
      <c r="AO10" s="384"/>
      <c r="AP10" s="384"/>
      <c r="AQ10" s="384"/>
      <c r="AR10" s="385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2" t="s">
        <v>136</v>
      </c>
      <c r="BL10" s="82" t="str">
        <f>CONCATENATE($BL$12&amp;BK10&amp;"x")</f>
        <v>swwx</v>
      </c>
      <c r="BM10" s="82" t="str">
        <f>CONCATENATE($BM$12&amp;BK10&amp;"x")</f>
        <v>dwx</v>
      </c>
      <c r="BN10" s="82" t="str">
        <f>CONCATENATE($BN$12&amp;BK10&amp;"x")</f>
        <v>pwx</v>
      </c>
      <c r="BO10" s="82" t="str">
        <f>CONCATENATE($BO$12&amp;BK10&amp;"x")</f>
        <v>umvwx</v>
      </c>
      <c r="BP10" s="82" t="str">
        <f>CONCATENATE($BP$12&amp;BK10&amp;"x")</f>
        <v>uzvwx</v>
      </c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1" spans="1:256" x14ac:dyDescent="0.3">
      <c r="A11" s="393" t="s">
        <v>7</v>
      </c>
      <c r="B11" s="394"/>
      <c r="C11" s="394"/>
      <c r="D11" s="394"/>
      <c r="E11" s="81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  <c r="Z11" s="365"/>
      <c r="AA11" s="366"/>
      <c r="AB11" s="366"/>
      <c r="AC11" s="366"/>
      <c r="AD11" s="367"/>
      <c r="AE11" s="83" t="s">
        <v>63</v>
      </c>
      <c r="AF11" s="83"/>
      <c r="AG11" s="83"/>
      <c r="AH11" s="83" t="s">
        <v>64</v>
      </c>
      <c r="AI11" s="83" t="s">
        <v>65</v>
      </c>
      <c r="AJ11" s="373"/>
      <c r="AK11" s="374"/>
      <c r="AL11" s="379"/>
      <c r="AM11" s="380"/>
      <c r="AN11" s="386"/>
      <c r="AO11" s="387"/>
      <c r="AP11" s="387"/>
      <c r="AQ11" s="387"/>
      <c r="AR11" s="388"/>
      <c r="AS11" s="81"/>
      <c r="AT11" s="81"/>
      <c r="AU11" s="81" t="s">
        <v>17</v>
      </c>
      <c r="AV11" s="81" t="s">
        <v>18</v>
      </c>
      <c r="AW11" s="81" t="s">
        <v>77</v>
      </c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2" t="s">
        <v>142</v>
      </c>
      <c r="BL11" s="82" t="str">
        <f>CONCATENATE($BL$12&amp;BK11&amp;"x")</f>
        <v>swbx</v>
      </c>
      <c r="BM11" s="82" t="str">
        <f>CONCATENATE($BM$12&amp;BK11&amp;"x")</f>
        <v>dbx</v>
      </c>
      <c r="BN11" s="82" t="str">
        <f>CONCATENATE($BN$12&amp;BK11&amp;"x")</f>
        <v>pbx</v>
      </c>
      <c r="BO11" s="82" t="str">
        <f>CONCATENATE($BO$12&amp;BK11&amp;"x")</f>
        <v>umvbx</v>
      </c>
      <c r="BP11" s="82" t="str">
        <f>CONCATENATE($BP$12&amp;BK11&amp;"x")</f>
        <v>uzvbx</v>
      </c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</row>
    <row r="12" spans="1:256" ht="18" x14ac:dyDescent="0.35">
      <c r="A12" s="395"/>
      <c r="B12" s="396"/>
      <c r="C12" s="396"/>
      <c r="D12" s="394"/>
      <c r="E12" s="81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1"/>
      <c r="Z12" s="368"/>
      <c r="AA12" s="369"/>
      <c r="AB12" s="369"/>
      <c r="AC12" s="369"/>
      <c r="AD12" s="370"/>
      <c r="AE12" s="84" t="s">
        <v>17</v>
      </c>
      <c r="AF12" s="84" t="s">
        <v>10</v>
      </c>
      <c r="AG12" s="84" t="s">
        <v>11</v>
      </c>
      <c r="AH12" s="84" t="s">
        <v>66</v>
      </c>
      <c r="AI12" s="84" t="s">
        <v>66</v>
      </c>
      <c r="AJ12" s="375"/>
      <c r="AK12" s="376"/>
      <c r="AL12" s="381"/>
      <c r="AM12" s="382"/>
      <c r="AN12" s="389" t="s">
        <v>17</v>
      </c>
      <c r="AO12" s="369"/>
      <c r="AP12" s="85"/>
      <c r="AQ12" s="369" t="s">
        <v>18</v>
      </c>
      <c r="AR12" s="390"/>
      <c r="AS12" s="81"/>
      <c r="AT12" s="81"/>
      <c r="AU12" s="81" t="s">
        <v>78</v>
      </c>
      <c r="AV12" s="81" t="s">
        <v>79</v>
      </c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 t="s">
        <v>138</v>
      </c>
      <c r="BM12" s="81" t="s">
        <v>139</v>
      </c>
      <c r="BN12" s="81" t="s">
        <v>79</v>
      </c>
      <c r="BO12" s="81" t="s">
        <v>140</v>
      </c>
      <c r="BP12" s="81" t="s">
        <v>141</v>
      </c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</row>
    <row r="13" spans="1:256" ht="15.6" x14ac:dyDescent="0.3">
      <c r="A13" s="86" t="s">
        <v>0</v>
      </c>
      <c r="B13" s="87" t="s">
        <v>1</v>
      </c>
      <c r="C13" s="88"/>
      <c r="D13" s="89"/>
      <c r="E13" s="88" t="s">
        <v>2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90"/>
      <c r="V13" s="91" t="s">
        <v>3</v>
      </c>
      <c r="W13" s="91" t="s">
        <v>4</v>
      </c>
      <c r="X13" s="91" t="s">
        <v>5</v>
      </c>
      <c r="Y13" s="92" t="s">
        <v>6</v>
      </c>
      <c r="Z13" s="93"/>
      <c r="AA13" s="94">
        <v>0</v>
      </c>
      <c r="AB13" s="95" t="s">
        <v>16</v>
      </c>
      <c r="AC13" s="94">
        <v>5</v>
      </c>
      <c r="AD13" s="96">
        <v>3</v>
      </c>
      <c r="AE13" s="97"/>
      <c r="AF13" s="97"/>
      <c r="AG13" s="98" t="s">
        <v>265</v>
      </c>
      <c r="AH13" s="99"/>
      <c r="AI13" s="99"/>
      <c r="AJ13" s="391" t="s">
        <v>18</v>
      </c>
      <c r="AK13" s="392"/>
      <c r="AL13" s="401">
        <v>10</v>
      </c>
      <c r="AM13" s="402"/>
      <c r="AN13" s="100"/>
      <c r="AO13" s="101">
        <f>IF(BQ13="","",IF(BQ13=$BL$10,"2"+AO1,IF(BQ13=$BM$10,"1"+AO1,IF(BQ13=$BN$10,"0"+AO1,IF(BQ13=$BO$10,"0"+AO1,IF(BQ13=$BP$10,"0"+AO1,"0"+AO1))))))</f>
        <v>0</v>
      </c>
      <c r="AP13" s="95" t="s">
        <v>16</v>
      </c>
      <c r="AQ13" s="102"/>
      <c r="AR13" s="103">
        <f>IF(BQ13="","",IF(BQ13=$BL$11,"2"+AR1,IF(BQ13=$BM$11,"1"+AR1,IF(BQ13=$BN$11,"0"+AR1,IF(BQ13=$BO$11,"0"+AR1,IF(BQ13=$BP$11,"0"+AR1,"0"+AR1))))))</f>
        <v>1</v>
      </c>
      <c r="AY13" s="38" t="str">
        <f>CONCATENATE(AJ13&amp;AL13)</f>
        <v>B10</v>
      </c>
      <c r="AZ13" s="38" t="str">
        <f>IF(AE13=$AW$11,"2","0")</f>
        <v>0</v>
      </c>
      <c r="BA13" s="38" t="str">
        <f>IF(AG13=$AW$11,"1","0")</f>
        <v>1</v>
      </c>
      <c r="BB13" s="38" t="str">
        <f>IF(AF13=$AW$11,"1","0")</f>
        <v>0</v>
      </c>
      <c r="BC13" s="38">
        <f>AZ13+BA13</f>
        <v>1</v>
      </c>
      <c r="BD13" s="38">
        <f>BB13+0</f>
        <v>0</v>
      </c>
      <c r="BL13" s="38" t="str">
        <f>IF(AE13="","",CONCATENATE($BL$12&amp;AJ13&amp;AE13))</f>
        <v/>
      </c>
      <c r="BM13" s="38" t="str">
        <f>IF(AG13="","",CONCATENATE($BM$12&amp;AJ13&amp;AG13))</f>
        <v>dBX</v>
      </c>
      <c r="BN13" s="38" t="str">
        <f>IF(AF13="","",CONCATENATE($BN$12&amp;AJ13,AF13))</f>
        <v/>
      </c>
      <c r="BO13" s="38" t="str">
        <f>IF(AH13="","",CONCATENATE($BO$12&amp;AJ13&amp;AH13))</f>
        <v/>
      </c>
      <c r="BP13" s="38" t="str">
        <f>IF(AI13="","",CONCATENATE($BP$12&amp;AJ13&amp;AI13))</f>
        <v/>
      </c>
      <c r="BQ13" s="38" t="str">
        <f>CONCATENATE(BL13&amp;BM13&amp;BN13&amp;BO13&amp;BP13)</f>
        <v>dBX</v>
      </c>
    </row>
    <row r="14" spans="1:256" ht="15.6" x14ac:dyDescent="0.3">
      <c r="A14" s="104" t="s">
        <v>265</v>
      </c>
      <c r="B14" s="397">
        <f>IF(ISBLANK(HLOOKUP($F$10,spelerslijsten!$B$1:$J$22,4,FALSE)),"",HLOOKUP($F$10,spelerslijsten!$B$1:$J$22,4,FALSE))</f>
        <v>2</v>
      </c>
      <c r="C14" s="398"/>
      <c r="D14" s="105"/>
      <c r="E14" s="106" t="str">
        <f>IF(ISBLANK(HLOOKUP($F$10,spelerslijsten!$B$1:$J$22,3,FALSE)),"",HLOOKUP($F$10,spelerslijsten!$B$1:$J$22,3,FALSE))</f>
        <v>Jop van Weel</v>
      </c>
      <c r="F14" s="107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8">
        <f t="shared" ref="V14:V20" si="0">SUMIF($AY$13:$AY$46,AT14,$BC$13:$BC$46)</f>
        <v>0</v>
      </c>
      <c r="W14" s="109" t="str">
        <f>IF(AU14&gt;0,"x","")</f>
        <v/>
      </c>
      <c r="X14" s="110" t="str">
        <f>IF(AU14&gt;1,"x","")</f>
        <v/>
      </c>
      <c r="Y14" s="103" t="str">
        <f>IF(AU14&gt;2,"x","")</f>
        <v/>
      </c>
      <c r="Z14" s="111"/>
      <c r="AA14" s="112">
        <v>1</v>
      </c>
      <c r="AB14" s="113" t="str">
        <f>+AB13</f>
        <v>-</v>
      </c>
      <c r="AC14" s="112">
        <v>4</v>
      </c>
      <c r="AD14" s="114">
        <v>5</v>
      </c>
      <c r="AE14" s="115"/>
      <c r="AF14" s="115"/>
      <c r="AG14" s="116" t="s">
        <v>265</v>
      </c>
      <c r="AH14" s="117"/>
      <c r="AI14" s="117"/>
      <c r="AJ14" s="342" t="s">
        <v>18</v>
      </c>
      <c r="AK14" s="343"/>
      <c r="AL14" s="346">
        <v>10</v>
      </c>
      <c r="AM14" s="347"/>
      <c r="AN14" s="118"/>
      <c r="AO14" s="101">
        <f>IF(BQ14="","",IF(BQ14=$BL$10,"2"+AO13,IF(BQ14=$BM$10,"1"+AO13,IF(BQ14=$BN$10,"0"+AO13,IF(BQ14=$BO$10,"0"+AO13,IF(BQ14=$BP$10,"0"+AO13,"0"+AO13))))))</f>
        <v>0</v>
      </c>
      <c r="AP14" s="113" t="str">
        <f>+AP13</f>
        <v>-</v>
      </c>
      <c r="AQ14" s="119"/>
      <c r="AR14" s="103">
        <f>IF(BQ14="","",IF(BQ14=$BL$11,"2"+AR13,IF(BQ14=$BM$11,"1"+AR13,IF(BQ14=$BN$11,"0"+AR13,IF(BQ14=$BO$11,"0"+AR13,IF(BQ14=$BP$11,"0"+AR13,"0"+AR13))))))</f>
        <v>2</v>
      </c>
      <c r="AT14" s="38" t="str">
        <f>CONCATENATE($AU$11&amp;B14)</f>
        <v>W2</v>
      </c>
      <c r="AU14" s="38">
        <f>SUMIF($AY$13:$AY$46,AT14,$BD$13:$BD$46)</f>
        <v>0</v>
      </c>
      <c r="AY14" s="38" t="str">
        <f t="shared" ref="AY14:AY46" si="1">CONCATENATE(AJ14&amp;AL14)</f>
        <v>B10</v>
      </c>
      <c r="AZ14" s="38" t="str">
        <f t="shared" ref="AZ14:AZ46" si="2">IF(AE14=$AW$11,"2","0")</f>
        <v>0</v>
      </c>
      <c r="BA14" s="38" t="str">
        <f t="shared" ref="BA14:BA46" si="3">IF(AG14=$AW$11,"1","0")</f>
        <v>1</v>
      </c>
      <c r="BB14" s="38" t="str">
        <f t="shared" ref="BB14:BB46" si="4">IF(AF14=$AW$11,"1","0")</f>
        <v>0</v>
      </c>
      <c r="BC14" s="38">
        <f t="shared" ref="BC14:BC46" si="5">AZ14+BA14</f>
        <v>1</v>
      </c>
      <c r="BD14" s="38">
        <f t="shared" ref="BD14:BD46" si="6">BB14+0</f>
        <v>0</v>
      </c>
      <c r="BL14" s="38" t="str">
        <f t="shared" ref="BL14:BL46" si="7">IF(AE14="","",CONCATENATE($BL$12&amp;AJ14&amp;AE14))</f>
        <v/>
      </c>
      <c r="BM14" s="38" t="str">
        <f t="shared" ref="BM14:BM46" si="8">IF(AG14="","",CONCATENATE($BM$12&amp;AJ14&amp;AG14))</f>
        <v>dBX</v>
      </c>
      <c r="BN14" s="38" t="str">
        <f t="shared" ref="BN14:BN46" si="9">IF(AF14="","",CONCATENATE($BN$12&amp;AJ14,AF14))</f>
        <v/>
      </c>
      <c r="BO14" s="38" t="str">
        <f t="shared" ref="BO14:BO46" si="10">IF(AH14="","",CONCATENATE($BO$12&amp;AJ14&amp;AH14))</f>
        <v/>
      </c>
      <c r="BP14" s="38" t="str">
        <f t="shared" ref="BP14:BP46" si="11">IF(AI14="","",CONCATENATE($BP$12&amp;AJ14&amp;AI14))</f>
        <v/>
      </c>
      <c r="BQ14" s="38" t="str">
        <f t="shared" ref="BQ14:BQ46" si="12">CONCATENATE(BL14&amp;BM14&amp;BN14&amp;BO14&amp;BP14)</f>
        <v>dBX</v>
      </c>
    </row>
    <row r="15" spans="1:256" ht="15.6" x14ac:dyDescent="0.3">
      <c r="A15" s="120" t="s">
        <v>265</v>
      </c>
      <c r="B15" s="397">
        <f>IF(ISBLANK(HLOOKUP($F$10,spelerslijsten!$B$1:$J$22,6,FALSE)),"",HLOOKUP($F$10,spelerslijsten!$B$1:$J$22,6,FALSE))</f>
        <v>3</v>
      </c>
      <c r="C15" s="398"/>
      <c r="D15" s="121"/>
      <c r="E15" s="122" t="str">
        <f>IF(ISBLANK(HLOOKUP($F$10,spelerslijsten!$B$1:$J$22,5,FALSE)),"",HLOOKUP($F$10,spelerslijsten!$B$1:$J$22,5,FALSE))</f>
        <v>Collin Bijnen</v>
      </c>
      <c r="F15" s="123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08">
        <f t="shared" si="0"/>
        <v>0</v>
      </c>
      <c r="W15" s="109" t="str">
        <f t="shared" ref="W15:W23" si="13">IF(AU15&gt;0,"x","")</f>
        <v/>
      </c>
      <c r="X15" s="110" t="str">
        <f t="shared" ref="X15:X23" si="14">IF(AU15&gt;1,"x","")</f>
        <v/>
      </c>
      <c r="Y15" s="103" t="str">
        <f t="shared" ref="Y15:Y23" si="15">IF(AU15&gt;2,"x","")</f>
        <v/>
      </c>
      <c r="Z15" s="111"/>
      <c r="AA15" s="112">
        <v>3</v>
      </c>
      <c r="AB15" s="113" t="str">
        <f t="shared" ref="AB15:AB44" si="16">+AB14</f>
        <v>-</v>
      </c>
      <c r="AC15" s="112">
        <v>1</v>
      </c>
      <c r="AD15" s="114">
        <v>8</v>
      </c>
      <c r="AE15" s="115"/>
      <c r="AF15" s="115"/>
      <c r="AG15" s="116" t="s">
        <v>265</v>
      </c>
      <c r="AH15" s="117"/>
      <c r="AI15" s="117"/>
      <c r="AJ15" s="342" t="s">
        <v>18</v>
      </c>
      <c r="AK15" s="343"/>
      <c r="AL15" s="346">
        <v>2</v>
      </c>
      <c r="AM15" s="347"/>
      <c r="AN15" s="118"/>
      <c r="AO15" s="101">
        <f>IF(BQ15="","",IF(BQ15=$BL$10,"2"+AO14,IF(BQ15=$BM$10,"1"+AO14,IF(BQ15=$BN$10,"0"+AO14,IF(BQ15=$BO$10,"0"+AO14,IF(BQ15=$BP$10,"0"+AO14,"0"+AO14))))))</f>
        <v>0</v>
      </c>
      <c r="AP15" s="113" t="str">
        <f>+AP14</f>
        <v>-</v>
      </c>
      <c r="AQ15" s="119"/>
      <c r="AR15" s="103">
        <f>IF(BQ15="","",IF(BQ15=$BL$11,"2"+AR14,IF(BQ15=$BM$11,"1"+AR14,IF(BQ15=$BN$11,"0"+AR14,IF(BQ15=$BO$11,"0"+AR14,IF(BQ15=$BP$11,"0"+AR14,"0"+AR14))))))</f>
        <v>3</v>
      </c>
      <c r="AT15" s="38" t="str">
        <f t="shared" ref="AT15:AT23" si="17">CONCATENATE($AU$11&amp;B15)</f>
        <v>W3</v>
      </c>
      <c r="AU15" s="38">
        <f t="shared" ref="AU15:AU39" si="18">SUMIF($AY$13:$AY$46,AT15,$BD$13:$BD$46)</f>
        <v>0</v>
      </c>
      <c r="AY15" s="38" t="str">
        <f t="shared" si="1"/>
        <v>B2</v>
      </c>
      <c r="AZ15" s="38" t="str">
        <f t="shared" si="2"/>
        <v>0</v>
      </c>
      <c r="BA15" s="38" t="str">
        <f t="shared" si="3"/>
        <v>1</v>
      </c>
      <c r="BB15" s="38" t="str">
        <f t="shared" si="4"/>
        <v>0</v>
      </c>
      <c r="BC15" s="38">
        <f t="shared" si="5"/>
        <v>1</v>
      </c>
      <c r="BD15" s="38">
        <f t="shared" si="6"/>
        <v>0</v>
      </c>
      <c r="BL15" s="38" t="str">
        <f t="shared" si="7"/>
        <v/>
      </c>
      <c r="BM15" s="38" t="str">
        <f t="shared" si="8"/>
        <v>dBX</v>
      </c>
      <c r="BN15" s="38" t="str">
        <f t="shared" si="9"/>
        <v/>
      </c>
      <c r="BO15" s="38" t="str">
        <f t="shared" si="10"/>
        <v/>
      </c>
      <c r="BP15" s="38" t="str">
        <f t="shared" si="11"/>
        <v/>
      </c>
      <c r="BQ15" s="38" t="str">
        <f t="shared" si="12"/>
        <v>dBX</v>
      </c>
    </row>
    <row r="16" spans="1:256" ht="15.6" x14ac:dyDescent="0.3">
      <c r="A16" s="124" t="s">
        <v>265</v>
      </c>
      <c r="B16" s="397">
        <f>IF(ISBLANK(HLOOKUP($F$10,spelerslijsten!$B$1:$J$22,8,FALSE)),"",HLOOKUP($F$10,spelerslijsten!$B$1:$J$22,8,FALSE))</f>
        <v>4</v>
      </c>
      <c r="C16" s="398"/>
      <c r="D16" s="121"/>
      <c r="E16" s="122" t="str">
        <f>IF(ISBLANK(HLOOKUP($F$10,spelerslijsten!$B$1:$J$22,7,FALSE)),"",HLOOKUP($F$10,spelerslijsten!$B$1:$J$22,7,FALSE))</f>
        <v>Lorenz Gerritz</v>
      </c>
      <c r="F16" s="12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08">
        <f t="shared" si="0"/>
        <v>0</v>
      </c>
      <c r="W16" s="109" t="str">
        <f t="shared" si="13"/>
        <v/>
      </c>
      <c r="X16" s="110" t="str">
        <f t="shared" si="14"/>
        <v/>
      </c>
      <c r="Y16" s="103" t="str">
        <f t="shared" si="15"/>
        <v/>
      </c>
      <c r="Z16" s="111"/>
      <c r="AA16" s="112">
        <v>4</v>
      </c>
      <c r="AB16" s="113" t="str">
        <f t="shared" si="16"/>
        <v>-</v>
      </c>
      <c r="AC16" s="112">
        <v>1</v>
      </c>
      <c r="AD16" s="114">
        <v>5</v>
      </c>
      <c r="AE16" s="115"/>
      <c r="AF16" s="115"/>
      <c r="AG16" s="116" t="s">
        <v>265</v>
      </c>
      <c r="AH16" s="117"/>
      <c r="AI16" s="117"/>
      <c r="AJ16" s="342" t="s">
        <v>18</v>
      </c>
      <c r="AK16" s="343"/>
      <c r="AL16" s="346">
        <v>7</v>
      </c>
      <c r="AM16" s="347"/>
      <c r="AN16" s="118"/>
      <c r="AO16" s="101">
        <f t="shared" ref="AO16:AO46" si="19">IF(BQ16="","",IF(BQ16=$BL$10,"2"+AO15,IF(BQ16=$BM$10,"1"+AO15,IF(BQ16=$BN$10,"0"+AO15,IF(BQ16=$BO$10,"0"+AO15,IF(BQ16=$BP$10,"0"+AO15,"0"+AO15))))))</f>
        <v>0</v>
      </c>
      <c r="AP16" s="113" t="str">
        <f t="shared" ref="AP16:AP46" si="20">+AP15</f>
        <v>-</v>
      </c>
      <c r="AQ16" s="119"/>
      <c r="AR16" s="103">
        <f t="shared" ref="AR16:AR46" si="21">IF(BQ16="","",IF(BQ16=$BL$11,"2"+AR15,IF(BQ16=$BM$11,"1"+AR15,IF(BQ16=$BN$11,"0"+AR15,IF(BQ16=$BO$11,"0"+AR15,IF(BQ16=$BP$11,"0"+AR15,"0"+AR15))))))</f>
        <v>4</v>
      </c>
      <c r="AT16" s="38" t="str">
        <f t="shared" si="17"/>
        <v>W4</v>
      </c>
      <c r="AU16" s="38">
        <f t="shared" si="18"/>
        <v>0</v>
      </c>
      <c r="AY16" s="38" t="str">
        <f t="shared" si="1"/>
        <v>B7</v>
      </c>
      <c r="AZ16" s="38" t="str">
        <f t="shared" si="2"/>
        <v>0</v>
      </c>
      <c r="BA16" s="38" t="str">
        <f t="shared" si="3"/>
        <v>1</v>
      </c>
      <c r="BB16" s="38" t="str">
        <f t="shared" si="4"/>
        <v>0</v>
      </c>
      <c r="BC16" s="38">
        <f t="shared" si="5"/>
        <v>1</v>
      </c>
      <c r="BD16" s="38">
        <f t="shared" si="6"/>
        <v>0</v>
      </c>
      <c r="BL16" s="38" t="str">
        <f t="shared" si="7"/>
        <v/>
      </c>
      <c r="BM16" s="38" t="str">
        <f t="shared" si="8"/>
        <v>dBX</v>
      </c>
      <c r="BN16" s="38" t="str">
        <f t="shared" si="9"/>
        <v/>
      </c>
      <c r="BO16" s="38" t="str">
        <f t="shared" si="10"/>
        <v/>
      </c>
      <c r="BP16" s="38" t="str">
        <f t="shared" si="11"/>
        <v/>
      </c>
      <c r="BQ16" s="38" t="str">
        <f t="shared" si="12"/>
        <v>dBX</v>
      </c>
    </row>
    <row r="17" spans="1:69" ht="15.6" x14ac:dyDescent="0.3">
      <c r="A17" s="124" t="s">
        <v>265</v>
      </c>
      <c r="B17" s="397">
        <f>IF(ISBLANK(HLOOKUP($F$10,spelerslijsten!$B$1:$J$22,10,FALSE)),"",HLOOKUP($F$10,spelerslijsten!$B$1:$J$22,10,FALSE))</f>
        <v>5</v>
      </c>
      <c r="C17" s="398"/>
      <c r="D17" s="121"/>
      <c r="E17" s="122" t="str">
        <f>IF(ISBLANK(HLOOKUP($F$10,spelerslijsten!$B$1:$J$22,9,FALSE)),"",HLOOKUP($F$10,spelerslijsten!$B$1:$J$22,9,FALSE))</f>
        <v>Maritz</v>
      </c>
      <c r="F17" s="12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08">
        <f t="shared" si="0"/>
        <v>1</v>
      </c>
      <c r="W17" s="109" t="str">
        <f t="shared" si="13"/>
        <v/>
      </c>
      <c r="X17" s="110" t="str">
        <f t="shared" si="14"/>
        <v/>
      </c>
      <c r="Y17" s="103" t="str">
        <f t="shared" si="15"/>
        <v/>
      </c>
      <c r="Z17" s="111"/>
      <c r="AA17" s="112">
        <v>4</v>
      </c>
      <c r="AB17" s="113" t="str">
        <f t="shared" si="16"/>
        <v>-</v>
      </c>
      <c r="AC17" s="112">
        <v>5</v>
      </c>
      <c r="AD17" s="114">
        <v>2</v>
      </c>
      <c r="AE17" s="115"/>
      <c r="AF17" s="115"/>
      <c r="AG17" s="116" t="s">
        <v>265</v>
      </c>
      <c r="AH17" s="117"/>
      <c r="AI17" s="117"/>
      <c r="AJ17" s="342" t="s">
        <v>17</v>
      </c>
      <c r="AK17" s="343"/>
      <c r="AL17" s="346">
        <v>5</v>
      </c>
      <c r="AM17" s="347"/>
      <c r="AN17" s="118"/>
      <c r="AO17" s="101">
        <f t="shared" si="19"/>
        <v>1</v>
      </c>
      <c r="AP17" s="113" t="str">
        <f t="shared" si="20"/>
        <v>-</v>
      </c>
      <c r="AQ17" s="119"/>
      <c r="AR17" s="103">
        <f t="shared" si="21"/>
        <v>4</v>
      </c>
      <c r="AT17" s="38" t="str">
        <f t="shared" si="17"/>
        <v>W5</v>
      </c>
      <c r="AU17" s="38">
        <f t="shared" si="18"/>
        <v>0</v>
      </c>
      <c r="AY17" s="38" t="str">
        <f t="shared" si="1"/>
        <v>W5</v>
      </c>
      <c r="AZ17" s="38" t="str">
        <f t="shared" si="2"/>
        <v>0</v>
      </c>
      <c r="BA17" s="38" t="str">
        <f t="shared" si="3"/>
        <v>1</v>
      </c>
      <c r="BB17" s="38" t="str">
        <f t="shared" si="4"/>
        <v>0</v>
      </c>
      <c r="BC17" s="38">
        <f t="shared" si="5"/>
        <v>1</v>
      </c>
      <c r="BD17" s="38">
        <f t="shared" si="6"/>
        <v>0</v>
      </c>
      <c r="BL17" s="38" t="str">
        <f t="shared" si="7"/>
        <v/>
      </c>
      <c r="BM17" s="38" t="str">
        <f t="shared" si="8"/>
        <v>dWX</v>
      </c>
      <c r="BN17" s="38" t="str">
        <f t="shared" si="9"/>
        <v/>
      </c>
      <c r="BO17" s="38" t="str">
        <f t="shared" si="10"/>
        <v/>
      </c>
      <c r="BP17" s="38" t="str">
        <f t="shared" si="11"/>
        <v/>
      </c>
      <c r="BQ17" s="38" t="str">
        <f t="shared" si="12"/>
        <v>dWX</v>
      </c>
    </row>
    <row r="18" spans="1:69" ht="15.6" x14ac:dyDescent="0.3">
      <c r="A18" s="124" t="s">
        <v>265</v>
      </c>
      <c r="B18" s="397">
        <f>IF(ISBLANK(HLOOKUP($F$10,spelerslijsten!$B$1:$J$22,12,FALSE)),"",HLOOKUP($F$10,spelerslijsten!$B$1:$J$22,12,FALSE))</f>
        <v>7</v>
      </c>
      <c r="C18" s="398"/>
      <c r="D18" s="121"/>
      <c r="E18" s="122" t="str">
        <f>IF(ISBLANK(HLOOKUP($F$10,spelerslijsten!$B$1:$J$22,11,FALSE)),"",HLOOKUP($F$10,spelerslijsten!$B$1:$J$22,11,FALSE))</f>
        <v>Doan Tran Thi Tuc</v>
      </c>
      <c r="F18" s="12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08">
        <f t="shared" si="0"/>
        <v>0</v>
      </c>
      <c r="W18" s="109" t="str">
        <f t="shared" si="13"/>
        <v/>
      </c>
      <c r="X18" s="110" t="str">
        <f t="shared" si="14"/>
        <v/>
      </c>
      <c r="Y18" s="103" t="str">
        <f t="shared" si="15"/>
        <v/>
      </c>
      <c r="Z18" s="111"/>
      <c r="AA18" s="112">
        <v>6</v>
      </c>
      <c r="AB18" s="113" t="s">
        <v>16</v>
      </c>
      <c r="AC18" s="112">
        <v>4</v>
      </c>
      <c r="AD18" s="114">
        <v>2</v>
      </c>
      <c r="AE18" s="115"/>
      <c r="AF18" s="115"/>
      <c r="AG18" s="116" t="s">
        <v>265</v>
      </c>
      <c r="AH18" s="117"/>
      <c r="AI18" s="117"/>
      <c r="AJ18" s="342" t="s">
        <v>17</v>
      </c>
      <c r="AK18" s="343"/>
      <c r="AL18" s="346">
        <v>12</v>
      </c>
      <c r="AM18" s="347"/>
      <c r="AN18" s="118"/>
      <c r="AO18" s="101">
        <f t="shared" si="19"/>
        <v>2</v>
      </c>
      <c r="AP18" s="113" t="str">
        <f t="shared" si="20"/>
        <v>-</v>
      </c>
      <c r="AQ18" s="119"/>
      <c r="AR18" s="103">
        <f t="shared" si="21"/>
        <v>4</v>
      </c>
      <c r="AT18" s="38" t="str">
        <f t="shared" si="17"/>
        <v>W7</v>
      </c>
      <c r="AU18" s="38">
        <f t="shared" si="18"/>
        <v>0</v>
      </c>
      <c r="AY18" s="38" t="str">
        <f t="shared" si="1"/>
        <v>W12</v>
      </c>
      <c r="AZ18" s="38" t="str">
        <f t="shared" si="2"/>
        <v>0</v>
      </c>
      <c r="BA18" s="38" t="str">
        <f t="shared" si="3"/>
        <v>1</v>
      </c>
      <c r="BB18" s="38" t="str">
        <f t="shared" si="4"/>
        <v>0</v>
      </c>
      <c r="BC18" s="38">
        <f t="shared" si="5"/>
        <v>1</v>
      </c>
      <c r="BD18" s="38">
        <f t="shared" si="6"/>
        <v>0</v>
      </c>
      <c r="BL18" s="38" t="str">
        <f t="shared" si="7"/>
        <v/>
      </c>
      <c r="BM18" s="38" t="str">
        <f t="shared" si="8"/>
        <v>dWX</v>
      </c>
      <c r="BN18" s="38" t="str">
        <f t="shared" si="9"/>
        <v/>
      </c>
      <c r="BO18" s="38" t="str">
        <f t="shared" si="10"/>
        <v/>
      </c>
      <c r="BP18" s="38" t="str">
        <f t="shared" si="11"/>
        <v/>
      </c>
      <c r="BQ18" s="38" t="str">
        <f t="shared" si="12"/>
        <v>dWX</v>
      </c>
    </row>
    <row r="19" spans="1:69" ht="15.6" x14ac:dyDescent="0.3">
      <c r="A19" s="124"/>
      <c r="B19" s="397">
        <f>IF(ISBLANK(HLOOKUP($F$10,spelerslijsten!$B$1:$J$22,14,FALSE)),"",HLOOKUP($F$10,spelerslijsten!$B$1:$J$22,14,FALSE))</f>
        <v>8</v>
      </c>
      <c r="C19" s="398"/>
      <c r="D19" s="121"/>
      <c r="E19" s="122" t="str">
        <f>IF(ISBLANK(HLOOKUP($F$10,spelerslijsten!$B$1:$J$22,13,FALSE)),"",HLOOKUP($F$10,spelerslijsten!$B$1:$J$22,13,FALSE))</f>
        <v>Lisa</v>
      </c>
      <c r="F19" s="12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08">
        <f t="shared" si="0"/>
        <v>0</v>
      </c>
      <c r="W19" s="109" t="str">
        <f t="shared" si="13"/>
        <v/>
      </c>
      <c r="X19" s="110" t="str">
        <f t="shared" si="14"/>
        <v/>
      </c>
      <c r="Y19" s="103" t="str">
        <f t="shared" si="15"/>
        <v/>
      </c>
      <c r="Z19" s="111"/>
      <c r="AA19" s="112">
        <v>8</v>
      </c>
      <c r="AB19" s="113" t="str">
        <f t="shared" si="16"/>
        <v>-</v>
      </c>
      <c r="AC19" s="112">
        <v>2</v>
      </c>
      <c r="AD19" s="114">
        <v>8</v>
      </c>
      <c r="AE19" s="115"/>
      <c r="AF19" s="115"/>
      <c r="AG19" s="116" t="s">
        <v>265</v>
      </c>
      <c r="AH19" s="117"/>
      <c r="AI19" s="117"/>
      <c r="AJ19" s="342" t="s">
        <v>18</v>
      </c>
      <c r="AK19" s="343"/>
      <c r="AL19" s="346">
        <v>7</v>
      </c>
      <c r="AM19" s="347"/>
      <c r="AN19" s="118"/>
      <c r="AO19" s="101">
        <f t="shared" si="19"/>
        <v>2</v>
      </c>
      <c r="AP19" s="113" t="str">
        <f t="shared" si="20"/>
        <v>-</v>
      </c>
      <c r="AQ19" s="119"/>
      <c r="AR19" s="103">
        <f t="shared" si="21"/>
        <v>5</v>
      </c>
      <c r="AT19" s="38" t="str">
        <f t="shared" si="17"/>
        <v>W8</v>
      </c>
      <c r="AU19" s="38">
        <f t="shared" si="18"/>
        <v>0</v>
      </c>
      <c r="AY19" s="38" t="str">
        <f t="shared" si="1"/>
        <v>B7</v>
      </c>
      <c r="AZ19" s="38" t="str">
        <f t="shared" si="2"/>
        <v>0</v>
      </c>
      <c r="BA19" s="38" t="str">
        <f t="shared" si="3"/>
        <v>1</v>
      </c>
      <c r="BB19" s="38" t="str">
        <f t="shared" si="4"/>
        <v>0</v>
      </c>
      <c r="BC19" s="38">
        <f t="shared" si="5"/>
        <v>1</v>
      </c>
      <c r="BD19" s="38">
        <f t="shared" si="6"/>
        <v>0</v>
      </c>
      <c r="BL19" s="38" t="str">
        <f t="shared" si="7"/>
        <v/>
      </c>
      <c r="BM19" s="38" t="str">
        <f t="shared" si="8"/>
        <v>dBX</v>
      </c>
      <c r="BN19" s="38" t="str">
        <f t="shared" si="9"/>
        <v/>
      </c>
      <c r="BO19" s="38" t="str">
        <f t="shared" si="10"/>
        <v/>
      </c>
      <c r="BP19" s="38" t="str">
        <f t="shared" si="11"/>
        <v/>
      </c>
      <c r="BQ19" s="38" t="str">
        <f t="shared" si="12"/>
        <v>dBX</v>
      </c>
    </row>
    <row r="20" spans="1:69" ht="15.6" x14ac:dyDescent="0.3">
      <c r="A20" s="124" t="s">
        <v>265</v>
      </c>
      <c r="B20" s="397">
        <f>IF(ISBLANK(HLOOKUP($F$10,spelerslijsten!$B$1:$J$22,16,FALSE)),"",HLOOKUP($F$10,spelerslijsten!$B$1:$J$22,16,FALSE))</f>
        <v>9</v>
      </c>
      <c r="C20" s="398"/>
      <c r="D20" s="121"/>
      <c r="E20" s="122" t="str">
        <f>IF(ISBLANK(HLOOKUP($F$10,spelerslijsten!$B$1:$J$22,15,FALSE)),"",HLOOKUP($F$10,spelerslijsten!$B$1:$J$22,15,FALSE))</f>
        <v>Mo</v>
      </c>
      <c r="F20" s="12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08">
        <f t="shared" si="0"/>
        <v>0</v>
      </c>
      <c r="W20" s="109" t="str">
        <f t="shared" si="13"/>
        <v/>
      </c>
      <c r="X20" s="110" t="str">
        <f t="shared" si="14"/>
        <v/>
      </c>
      <c r="Y20" s="103" t="str">
        <f t="shared" si="15"/>
        <v/>
      </c>
      <c r="Z20" s="111"/>
      <c r="AA20" s="112">
        <v>9</v>
      </c>
      <c r="AB20" s="113" t="str">
        <f t="shared" si="16"/>
        <v>-</v>
      </c>
      <c r="AC20" s="112">
        <v>2</v>
      </c>
      <c r="AD20" s="114">
        <v>5</v>
      </c>
      <c r="AE20" s="115"/>
      <c r="AF20" s="115"/>
      <c r="AG20" s="116" t="s">
        <v>265</v>
      </c>
      <c r="AH20" s="117"/>
      <c r="AI20" s="117"/>
      <c r="AJ20" s="342" t="s">
        <v>18</v>
      </c>
      <c r="AK20" s="343"/>
      <c r="AL20" s="346">
        <v>3</v>
      </c>
      <c r="AM20" s="347"/>
      <c r="AN20" s="118"/>
      <c r="AO20" s="101">
        <f t="shared" si="19"/>
        <v>2</v>
      </c>
      <c r="AP20" s="113" t="str">
        <f t="shared" si="20"/>
        <v>-</v>
      </c>
      <c r="AQ20" s="119"/>
      <c r="AR20" s="103">
        <f t="shared" si="21"/>
        <v>6</v>
      </c>
      <c r="AT20" s="38" t="str">
        <f t="shared" si="17"/>
        <v>W9</v>
      </c>
      <c r="AU20" s="38">
        <f t="shared" si="18"/>
        <v>0</v>
      </c>
      <c r="AY20" s="38" t="str">
        <f t="shared" si="1"/>
        <v>B3</v>
      </c>
      <c r="AZ20" s="38" t="str">
        <f t="shared" si="2"/>
        <v>0</v>
      </c>
      <c r="BA20" s="38" t="str">
        <f t="shared" si="3"/>
        <v>1</v>
      </c>
      <c r="BB20" s="38" t="str">
        <f t="shared" si="4"/>
        <v>0</v>
      </c>
      <c r="BC20" s="38">
        <f t="shared" si="5"/>
        <v>1</v>
      </c>
      <c r="BD20" s="38">
        <f t="shared" si="6"/>
        <v>0</v>
      </c>
      <c r="BL20" s="38" t="str">
        <f t="shared" si="7"/>
        <v/>
      </c>
      <c r="BM20" s="38" t="str">
        <f t="shared" si="8"/>
        <v>dBX</v>
      </c>
      <c r="BN20" s="38" t="str">
        <f t="shared" si="9"/>
        <v/>
      </c>
      <c r="BO20" s="38" t="str">
        <f t="shared" si="10"/>
        <v/>
      </c>
      <c r="BP20" s="38" t="str">
        <f t="shared" si="11"/>
        <v/>
      </c>
      <c r="BQ20" s="38" t="str">
        <f t="shared" si="12"/>
        <v>dBX</v>
      </c>
    </row>
    <row r="21" spans="1:69" ht="15.6" x14ac:dyDescent="0.3">
      <c r="A21" s="124" t="s">
        <v>265</v>
      </c>
      <c r="B21" s="397">
        <f>IF(ISBLANK(HLOOKUP($F$10,spelerslijsten!$B$1:$J$22,18,FALSE)),"",HLOOKUP($F$10,spelerslijsten!$B$1:$J$22,18,FALSE))</f>
        <v>12</v>
      </c>
      <c r="C21" s="398"/>
      <c r="D21" s="121"/>
      <c r="E21" s="122" t="str">
        <f>IF(ISBLANK(HLOOKUP($F$10,spelerslijsten!$B$1:$J$22,17,FALSE)),"",HLOOKUP($F$10,spelerslijsten!$B$1:$J$22,17,FALSE))</f>
        <v>Siemen Pouwels</v>
      </c>
      <c r="F21" s="12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08">
        <f>SUMIF($AY$13:$AY$46,AT21,$BC$13:$BC$46)</f>
        <v>1</v>
      </c>
      <c r="W21" s="109" t="str">
        <f t="shared" si="13"/>
        <v/>
      </c>
      <c r="X21" s="110" t="str">
        <f t="shared" si="14"/>
        <v/>
      </c>
      <c r="Y21" s="103" t="str">
        <f t="shared" si="15"/>
        <v/>
      </c>
      <c r="Z21" s="111">
        <v>1</v>
      </c>
      <c r="AA21" s="112">
        <v>0</v>
      </c>
      <c r="AB21" s="113" t="str">
        <f t="shared" si="16"/>
        <v>-</v>
      </c>
      <c r="AC21" s="112">
        <v>5</v>
      </c>
      <c r="AD21" s="114">
        <v>1</v>
      </c>
      <c r="AE21" s="115"/>
      <c r="AF21" s="115"/>
      <c r="AG21" s="116" t="s">
        <v>265</v>
      </c>
      <c r="AH21" s="117"/>
      <c r="AI21" s="117"/>
      <c r="AJ21" s="342" t="s">
        <v>18</v>
      </c>
      <c r="AK21" s="343"/>
      <c r="AL21" s="346">
        <v>7</v>
      </c>
      <c r="AM21" s="347"/>
      <c r="AN21" s="118"/>
      <c r="AO21" s="101">
        <f t="shared" si="19"/>
        <v>2</v>
      </c>
      <c r="AP21" s="113" t="str">
        <f t="shared" si="20"/>
        <v>-</v>
      </c>
      <c r="AQ21" s="119"/>
      <c r="AR21" s="103">
        <f t="shared" si="21"/>
        <v>7</v>
      </c>
      <c r="AT21" s="38" t="str">
        <f t="shared" si="17"/>
        <v>W12</v>
      </c>
      <c r="AU21" s="38">
        <f t="shared" si="18"/>
        <v>0</v>
      </c>
      <c r="AY21" s="38" t="str">
        <f t="shared" si="1"/>
        <v>B7</v>
      </c>
      <c r="AZ21" s="38" t="str">
        <f t="shared" si="2"/>
        <v>0</v>
      </c>
      <c r="BA21" s="38" t="str">
        <f t="shared" si="3"/>
        <v>1</v>
      </c>
      <c r="BB21" s="38" t="str">
        <f t="shared" si="4"/>
        <v>0</v>
      </c>
      <c r="BC21" s="38">
        <f t="shared" si="5"/>
        <v>1</v>
      </c>
      <c r="BD21" s="38">
        <f t="shared" si="6"/>
        <v>0</v>
      </c>
      <c r="BL21" s="38" t="str">
        <f t="shared" si="7"/>
        <v/>
      </c>
      <c r="BM21" s="38" t="str">
        <f t="shared" si="8"/>
        <v>dBX</v>
      </c>
      <c r="BN21" s="38" t="str">
        <f t="shared" si="9"/>
        <v/>
      </c>
      <c r="BO21" s="38" t="str">
        <f t="shared" si="10"/>
        <v/>
      </c>
      <c r="BP21" s="38" t="str">
        <f t="shared" si="11"/>
        <v/>
      </c>
      <c r="BQ21" s="38" t="str">
        <f t="shared" si="12"/>
        <v>dBX</v>
      </c>
    </row>
    <row r="22" spans="1:69" ht="15.6" x14ac:dyDescent="0.3">
      <c r="A22" s="124" t="s">
        <v>265</v>
      </c>
      <c r="B22" s="397">
        <f>IF(ISBLANK(HLOOKUP($F$10,spelerslijsten!$B$1:$J$22,20,FALSE)),"",HLOOKUP($F$10,spelerslijsten!$B$1:$J$22,20,FALSE))</f>
        <v>13</v>
      </c>
      <c r="C22" s="398"/>
      <c r="D22" s="121"/>
      <c r="E22" s="122" t="str">
        <f>IF(ISBLANK(HLOOKUP($F$10,spelerslijsten!$B$1:$J$22,19,FALSE)),"",HLOOKUP($F$10,spelerslijsten!$B$1:$J$22,19,FALSE))</f>
        <v>Mark van der Heijden (leen)</v>
      </c>
      <c r="F22" s="12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08">
        <f t="shared" ref="V22:V23" si="22">SUMIF($AY$13:$AY$46,AT22,$BC$13:$BC$46)</f>
        <v>0</v>
      </c>
      <c r="W22" s="109" t="str">
        <f t="shared" si="13"/>
        <v/>
      </c>
      <c r="X22" s="110" t="str">
        <f t="shared" si="14"/>
        <v/>
      </c>
      <c r="Y22" s="103" t="str">
        <f t="shared" si="15"/>
        <v/>
      </c>
      <c r="Z22" s="111"/>
      <c r="AA22" s="112"/>
      <c r="AB22" s="113" t="str">
        <f t="shared" si="16"/>
        <v>-</v>
      </c>
      <c r="AC22" s="112"/>
      <c r="AD22" s="114"/>
      <c r="AE22" s="115"/>
      <c r="AF22" s="115"/>
      <c r="AG22" s="116"/>
      <c r="AH22" s="117"/>
      <c r="AI22" s="117"/>
      <c r="AJ22" s="342"/>
      <c r="AK22" s="343"/>
      <c r="AL22" s="346"/>
      <c r="AM22" s="347"/>
      <c r="AN22" s="118"/>
      <c r="AO22" s="101" t="str">
        <f t="shared" si="19"/>
        <v/>
      </c>
      <c r="AP22" s="113" t="str">
        <f t="shared" si="20"/>
        <v>-</v>
      </c>
      <c r="AQ22" s="119"/>
      <c r="AR22" s="103" t="str">
        <f t="shared" si="21"/>
        <v/>
      </c>
      <c r="AT22" s="38" t="str">
        <f t="shared" si="17"/>
        <v>W13</v>
      </c>
      <c r="AU22" s="38">
        <f t="shared" si="18"/>
        <v>0</v>
      </c>
      <c r="AY22" s="38" t="str">
        <f t="shared" si="1"/>
        <v/>
      </c>
      <c r="AZ22" s="38" t="str">
        <f t="shared" si="2"/>
        <v>0</v>
      </c>
      <c r="BA22" s="38" t="str">
        <f t="shared" si="3"/>
        <v>0</v>
      </c>
      <c r="BB22" s="38" t="str">
        <f t="shared" si="4"/>
        <v>0</v>
      </c>
      <c r="BC22" s="38">
        <f t="shared" si="5"/>
        <v>0</v>
      </c>
      <c r="BD22" s="38">
        <f t="shared" si="6"/>
        <v>0</v>
      </c>
      <c r="BL22" s="38" t="str">
        <f t="shared" si="7"/>
        <v/>
      </c>
      <c r="BM22" s="38" t="str">
        <f t="shared" si="8"/>
        <v/>
      </c>
      <c r="BN22" s="38" t="str">
        <f t="shared" si="9"/>
        <v/>
      </c>
      <c r="BO22" s="38" t="str">
        <f t="shared" si="10"/>
        <v/>
      </c>
      <c r="BP22" s="38" t="str">
        <f t="shared" si="11"/>
        <v/>
      </c>
      <c r="BQ22" s="38" t="str">
        <f t="shared" si="12"/>
        <v/>
      </c>
    </row>
    <row r="23" spans="1:69" ht="15.6" x14ac:dyDescent="0.3">
      <c r="A23" s="125"/>
      <c r="B23" s="397" t="str">
        <f>IF(ISBLANK(HLOOKUP($F$10,spelerslijsten!$B$1:$J$22,22,FALSE)),"",HLOOKUP($F$10,spelerslijsten!$B$1:$J$22,22,FALSE))</f>
        <v/>
      </c>
      <c r="C23" s="398"/>
      <c r="D23" s="126"/>
      <c r="E23" s="259" t="str">
        <f>IF(ISBLANK(HLOOKUP($F$10,spelerslijsten!$B$1:$J$22,21,FALSE)),"",HLOOKUP($F$10,spelerslijsten!$B$1:$J$22,21,FALSE))</f>
        <v/>
      </c>
      <c r="F23" s="126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08">
        <f t="shared" si="22"/>
        <v>0</v>
      </c>
      <c r="W23" s="109" t="str">
        <f t="shared" si="13"/>
        <v/>
      </c>
      <c r="X23" s="110" t="str">
        <f t="shared" si="14"/>
        <v/>
      </c>
      <c r="Y23" s="103" t="str">
        <f t="shared" si="15"/>
        <v/>
      </c>
      <c r="Z23" s="111"/>
      <c r="AA23" s="112"/>
      <c r="AB23" s="113" t="str">
        <f t="shared" si="16"/>
        <v>-</v>
      </c>
      <c r="AC23" s="112"/>
      <c r="AD23" s="114"/>
      <c r="AE23" s="115"/>
      <c r="AF23" s="115"/>
      <c r="AG23" s="116"/>
      <c r="AH23" s="117"/>
      <c r="AI23" s="117"/>
      <c r="AJ23" s="342"/>
      <c r="AK23" s="343"/>
      <c r="AL23" s="346"/>
      <c r="AM23" s="347"/>
      <c r="AN23" s="118"/>
      <c r="AO23" s="101" t="str">
        <f t="shared" si="19"/>
        <v/>
      </c>
      <c r="AP23" s="113" t="str">
        <f t="shared" si="20"/>
        <v>-</v>
      </c>
      <c r="AQ23" s="119"/>
      <c r="AR23" s="103" t="str">
        <f t="shared" si="21"/>
        <v/>
      </c>
      <c r="AT23" s="38" t="str">
        <f t="shared" si="17"/>
        <v>W</v>
      </c>
      <c r="AU23" s="38">
        <f t="shared" si="18"/>
        <v>0</v>
      </c>
      <c r="AY23" s="38" t="str">
        <f t="shared" si="1"/>
        <v/>
      </c>
      <c r="AZ23" s="38" t="str">
        <f t="shared" si="2"/>
        <v>0</v>
      </c>
      <c r="BA23" s="38" t="str">
        <f t="shared" si="3"/>
        <v>0</v>
      </c>
      <c r="BB23" s="38" t="str">
        <f t="shared" si="4"/>
        <v>0</v>
      </c>
      <c r="BC23" s="38">
        <f t="shared" si="5"/>
        <v>0</v>
      </c>
      <c r="BD23" s="38">
        <f t="shared" si="6"/>
        <v>0</v>
      </c>
      <c r="BL23" s="38" t="str">
        <f t="shared" si="7"/>
        <v/>
      </c>
      <c r="BM23" s="38" t="str">
        <f t="shared" si="8"/>
        <v/>
      </c>
      <c r="BN23" s="38" t="str">
        <f t="shared" si="9"/>
        <v/>
      </c>
      <c r="BO23" s="38" t="str">
        <f t="shared" si="10"/>
        <v/>
      </c>
      <c r="BP23" s="38" t="str">
        <f t="shared" si="11"/>
        <v/>
      </c>
      <c r="BQ23" s="38" t="str">
        <f t="shared" si="12"/>
        <v/>
      </c>
    </row>
    <row r="24" spans="1:69" ht="16.2" thickBot="1" x14ac:dyDescent="0.35">
      <c r="A24" s="71" t="s">
        <v>67</v>
      </c>
      <c r="B24" s="72"/>
      <c r="C24" s="72"/>
      <c r="D24" s="72"/>
      <c r="E24" s="72"/>
      <c r="F24" s="72"/>
      <c r="G24" s="72"/>
      <c r="I24" s="399">
        <f>HLOOKUP(F10,spelerslijsten!B1:J25,25,FALSE)</f>
        <v>0</v>
      </c>
      <c r="J24" s="400"/>
      <c r="K24" s="74" t="s">
        <v>23</v>
      </c>
      <c r="L24" s="72"/>
      <c r="M24" s="72"/>
      <c r="N24" s="129" t="str">
        <f>HLOOKUP(F10,spelerslijsten!B1:J25,23,FALSE)</f>
        <v>Eric Gabriel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30"/>
      <c r="Z24" s="131"/>
      <c r="AA24" s="132"/>
      <c r="AB24" s="133" t="str">
        <f t="shared" si="16"/>
        <v>-</v>
      </c>
      <c r="AC24" s="132"/>
      <c r="AD24" s="134"/>
      <c r="AE24" s="135"/>
      <c r="AF24" s="135"/>
      <c r="AG24" s="136"/>
      <c r="AH24" s="137"/>
      <c r="AI24" s="137"/>
      <c r="AJ24" s="342"/>
      <c r="AK24" s="343"/>
      <c r="AL24" s="350"/>
      <c r="AM24" s="351"/>
      <c r="AN24" s="138"/>
      <c r="AO24" s="101" t="str">
        <f t="shared" si="19"/>
        <v/>
      </c>
      <c r="AP24" s="113" t="str">
        <f t="shared" si="20"/>
        <v>-</v>
      </c>
      <c r="AQ24" s="119"/>
      <c r="AR24" s="103" t="str">
        <f t="shared" si="21"/>
        <v/>
      </c>
      <c r="AY24" s="38" t="str">
        <f t="shared" si="1"/>
        <v/>
      </c>
      <c r="AZ24" s="38" t="str">
        <f t="shared" si="2"/>
        <v>0</v>
      </c>
      <c r="BA24" s="38" t="str">
        <f t="shared" si="3"/>
        <v>0</v>
      </c>
      <c r="BB24" s="38" t="str">
        <f t="shared" si="4"/>
        <v>0</v>
      </c>
      <c r="BC24" s="38">
        <f t="shared" si="5"/>
        <v>0</v>
      </c>
      <c r="BD24" s="38">
        <f t="shared" si="6"/>
        <v>0</v>
      </c>
      <c r="BL24" s="38" t="str">
        <f t="shared" si="7"/>
        <v/>
      </c>
      <c r="BM24" s="38" t="str">
        <f t="shared" si="8"/>
        <v/>
      </c>
      <c r="BN24" s="38" t="str">
        <f t="shared" si="9"/>
        <v/>
      </c>
      <c r="BO24" s="38" t="str">
        <f t="shared" si="10"/>
        <v/>
      </c>
      <c r="BP24" s="38" t="str">
        <f t="shared" si="11"/>
        <v/>
      </c>
      <c r="BQ24" s="38" t="str">
        <f t="shared" si="12"/>
        <v/>
      </c>
    </row>
    <row r="25" spans="1:69" ht="15" customHeight="1" x14ac:dyDescent="0.3">
      <c r="A25" s="78" t="s">
        <v>60</v>
      </c>
      <c r="B25" s="79"/>
      <c r="C25" s="79"/>
      <c r="D25" s="79"/>
      <c r="E25" s="79"/>
      <c r="F25" s="356" t="str">
        <f>+AC7</f>
        <v>Gesposs Geel</v>
      </c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7"/>
      <c r="Z25" s="139"/>
      <c r="AA25" s="140"/>
      <c r="AB25" s="141" t="str">
        <f t="shared" si="16"/>
        <v>-</v>
      </c>
      <c r="AC25" s="140"/>
      <c r="AD25" s="142"/>
      <c r="AE25" s="143"/>
      <c r="AF25" s="143"/>
      <c r="AG25" s="144"/>
      <c r="AH25" s="145"/>
      <c r="AI25" s="145"/>
      <c r="AJ25" s="342"/>
      <c r="AK25" s="343"/>
      <c r="AL25" s="346"/>
      <c r="AM25" s="347"/>
      <c r="AN25" s="146"/>
      <c r="AO25" s="101" t="str">
        <f t="shared" si="19"/>
        <v/>
      </c>
      <c r="AP25" s="113" t="str">
        <f t="shared" si="20"/>
        <v>-</v>
      </c>
      <c r="AQ25" s="119"/>
      <c r="AR25" s="103" t="str">
        <f t="shared" si="21"/>
        <v/>
      </c>
      <c r="AY25" s="38" t="str">
        <f t="shared" si="1"/>
        <v/>
      </c>
      <c r="AZ25" s="38" t="str">
        <f t="shared" si="2"/>
        <v>0</v>
      </c>
      <c r="BA25" s="38" t="str">
        <f t="shared" si="3"/>
        <v>0</v>
      </c>
      <c r="BB25" s="38" t="str">
        <f t="shared" si="4"/>
        <v>0</v>
      </c>
      <c r="BC25" s="38">
        <f t="shared" si="5"/>
        <v>0</v>
      </c>
      <c r="BD25" s="38">
        <f t="shared" si="6"/>
        <v>0</v>
      </c>
      <c r="BL25" s="38" t="str">
        <f t="shared" si="7"/>
        <v/>
      </c>
      <c r="BM25" s="38" t="str">
        <f t="shared" si="8"/>
        <v/>
      </c>
      <c r="BN25" s="38" t="str">
        <f t="shared" si="9"/>
        <v/>
      </c>
      <c r="BO25" s="38" t="str">
        <f t="shared" si="10"/>
        <v/>
      </c>
      <c r="BP25" s="38" t="str">
        <f t="shared" si="11"/>
        <v/>
      </c>
      <c r="BQ25" s="38" t="str">
        <f t="shared" si="12"/>
        <v/>
      </c>
    </row>
    <row r="26" spans="1:69" ht="15" customHeight="1" x14ac:dyDescent="0.3">
      <c r="A26" s="393" t="s">
        <v>24</v>
      </c>
      <c r="B26" s="394"/>
      <c r="C26" s="394"/>
      <c r="D26" s="394"/>
      <c r="E26" s="81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9"/>
      <c r="Z26" s="139"/>
      <c r="AA26" s="140"/>
      <c r="AB26" s="141" t="s">
        <v>16</v>
      </c>
      <c r="AC26" s="140"/>
      <c r="AD26" s="142"/>
      <c r="AE26" s="143"/>
      <c r="AF26" s="143"/>
      <c r="AG26" s="144"/>
      <c r="AH26" s="145"/>
      <c r="AI26" s="145"/>
      <c r="AJ26" s="342"/>
      <c r="AK26" s="343"/>
      <c r="AL26" s="346"/>
      <c r="AM26" s="347"/>
      <c r="AN26" s="146"/>
      <c r="AO26" s="101" t="str">
        <f t="shared" si="19"/>
        <v/>
      </c>
      <c r="AP26" s="113" t="str">
        <f t="shared" si="20"/>
        <v>-</v>
      </c>
      <c r="AQ26" s="119"/>
      <c r="AR26" s="103" t="str">
        <f t="shared" si="21"/>
        <v/>
      </c>
      <c r="AY26" s="38" t="str">
        <f t="shared" si="1"/>
        <v/>
      </c>
      <c r="AZ26" s="38" t="str">
        <f t="shared" si="2"/>
        <v>0</v>
      </c>
      <c r="BA26" s="38" t="str">
        <f t="shared" si="3"/>
        <v>0</v>
      </c>
      <c r="BB26" s="38" t="str">
        <f t="shared" si="4"/>
        <v>0</v>
      </c>
      <c r="BC26" s="38">
        <f t="shared" si="5"/>
        <v>0</v>
      </c>
      <c r="BD26" s="38">
        <f t="shared" si="6"/>
        <v>0</v>
      </c>
      <c r="BL26" s="38" t="str">
        <f t="shared" si="7"/>
        <v/>
      </c>
      <c r="BM26" s="38" t="str">
        <f t="shared" si="8"/>
        <v/>
      </c>
      <c r="BN26" s="38" t="str">
        <f t="shared" si="9"/>
        <v/>
      </c>
      <c r="BO26" s="38" t="str">
        <f t="shared" si="10"/>
        <v/>
      </c>
      <c r="BP26" s="38" t="str">
        <f t="shared" si="11"/>
        <v/>
      </c>
      <c r="BQ26" s="38" t="str">
        <f t="shared" si="12"/>
        <v/>
      </c>
    </row>
    <row r="27" spans="1:69" ht="15.6" x14ac:dyDescent="0.3">
      <c r="A27" s="393"/>
      <c r="B27" s="394"/>
      <c r="C27" s="394"/>
      <c r="D27" s="394"/>
      <c r="E27" s="81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9"/>
      <c r="Z27" s="139"/>
      <c r="AA27" s="140"/>
      <c r="AB27" s="141" t="s">
        <v>16</v>
      </c>
      <c r="AC27" s="140"/>
      <c r="AD27" s="142"/>
      <c r="AE27" s="143"/>
      <c r="AF27" s="143"/>
      <c r="AG27" s="144"/>
      <c r="AH27" s="145"/>
      <c r="AI27" s="145"/>
      <c r="AJ27" s="342"/>
      <c r="AK27" s="343"/>
      <c r="AL27" s="346"/>
      <c r="AM27" s="347"/>
      <c r="AN27" s="146"/>
      <c r="AO27" s="101" t="str">
        <f t="shared" si="19"/>
        <v/>
      </c>
      <c r="AP27" s="113" t="str">
        <f t="shared" si="20"/>
        <v>-</v>
      </c>
      <c r="AQ27" s="119"/>
      <c r="AR27" s="103" t="str">
        <f t="shared" si="21"/>
        <v/>
      </c>
      <c r="AY27" s="38" t="str">
        <f t="shared" si="1"/>
        <v/>
      </c>
      <c r="AZ27" s="38" t="str">
        <f t="shared" si="2"/>
        <v>0</v>
      </c>
      <c r="BA27" s="38" t="str">
        <f t="shared" si="3"/>
        <v>0</v>
      </c>
      <c r="BB27" s="38" t="str">
        <f t="shared" si="4"/>
        <v>0</v>
      </c>
      <c r="BC27" s="38">
        <f t="shared" si="5"/>
        <v>0</v>
      </c>
      <c r="BD27" s="38">
        <f t="shared" si="6"/>
        <v>0</v>
      </c>
      <c r="BL27" s="38" t="str">
        <f t="shared" si="7"/>
        <v/>
      </c>
      <c r="BM27" s="38" t="str">
        <f t="shared" si="8"/>
        <v/>
      </c>
      <c r="BN27" s="38" t="str">
        <f t="shared" si="9"/>
        <v/>
      </c>
      <c r="BO27" s="38" t="str">
        <f t="shared" si="10"/>
        <v/>
      </c>
      <c r="BP27" s="38" t="str">
        <f t="shared" si="11"/>
        <v/>
      </c>
      <c r="BQ27" s="38" t="str">
        <f t="shared" si="12"/>
        <v/>
      </c>
    </row>
    <row r="28" spans="1:69" ht="15.6" x14ac:dyDescent="0.3">
      <c r="A28" s="395"/>
      <c r="B28" s="396"/>
      <c r="C28" s="396"/>
      <c r="D28" s="396"/>
      <c r="E28" s="81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1"/>
      <c r="Z28" s="147"/>
      <c r="AA28" s="140"/>
      <c r="AB28" s="148" t="str">
        <f>+AB25</f>
        <v>-</v>
      </c>
      <c r="AC28" s="140"/>
      <c r="AD28" s="142"/>
      <c r="AE28" s="143"/>
      <c r="AF28" s="143"/>
      <c r="AG28" s="144"/>
      <c r="AH28" s="145"/>
      <c r="AI28" s="145"/>
      <c r="AJ28" s="342"/>
      <c r="AK28" s="343"/>
      <c r="AL28" s="346"/>
      <c r="AM28" s="347"/>
      <c r="AN28" s="146"/>
      <c r="AO28" s="101" t="str">
        <f t="shared" si="19"/>
        <v/>
      </c>
      <c r="AP28" s="113" t="str">
        <f t="shared" si="20"/>
        <v>-</v>
      </c>
      <c r="AQ28" s="119"/>
      <c r="AR28" s="103" t="str">
        <f t="shared" si="21"/>
        <v/>
      </c>
      <c r="AY28" s="38" t="str">
        <f t="shared" si="1"/>
        <v/>
      </c>
      <c r="AZ28" s="38" t="str">
        <f t="shared" si="2"/>
        <v>0</v>
      </c>
      <c r="BA28" s="38" t="str">
        <f t="shared" si="3"/>
        <v>0</v>
      </c>
      <c r="BB28" s="38" t="str">
        <f t="shared" si="4"/>
        <v>0</v>
      </c>
      <c r="BC28" s="38">
        <f t="shared" si="5"/>
        <v>0</v>
      </c>
      <c r="BD28" s="38">
        <f t="shared" si="6"/>
        <v>0</v>
      </c>
      <c r="BL28" s="38" t="str">
        <f t="shared" si="7"/>
        <v/>
      </c>
      <c r="BM28" s="38" t="str">
        <f t="shared" si="8"/>
        <v/>
      </c>
      <c r="BN28" s="38" t="str">
        <f t="shared" si="9"/>
        <v/>
      </c>
      <c r="BO28" s="38" t="str">
        <f t="shared" si="10"/>
        <v/>
      </c>
      <c r="BP28" s="38" t="str">
        <f t="shared" si="11"/>
        <v/>
      </c>
      <c r="BQ28" s="38" t="str">
        <f t="shared" si="12"/>
        <v/>
      </c>
    </row>
    <row r="29" spans="1:69" ht="15.6" x14ac:dyDescent="0.3">
      <c r="A29" s="86" t="s">
        <v>0</v>
      </c>
      <c r="B29" s="87" t="s">
        <v>1</v>
      </c>
      <c r="C29" s="64"/>
      <c r="D29" s="89"/>
      <c r="E29" s="88" t="s">
        <v>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90"/>
      <c r="V29" s="91" t="s">
        <v>3</v>
      </c>
      <c r="W29" s="91" t="s">
        <v>4</v>
      </c>
      <c r="X29" s="91" t="s">
        <v>5</v>
      </c>
      <c r="Y29" s="92" t="s">
        <v>6</v>
      </c>
      <c r="Z29" s="111"/>
      <c r="AA29" s="149"/>
      <c r="AB29" s="150" t="str">
        <f t="shared" si="16"/>
        <v>-</v>
      </c>
      <c r="AC29" s="149"/>
      <c r="AD29" s="151"/>
      <c r="AE29" s="152"/>
      <c r="AF29" s="152"/>
      <c r="AG29" s="153"/>
      <c r="AH29" s="154"/>
      <c r="AI29" s="154"/>
      <c r="AJ29" s="342"/>
      <c r="AK29" s="343"/>
      <c r="AL29" s="348"/>
      <c r="AM29" s="349"/>
      <c r="AN29" s="155"/>
      <c r="AO29" s="101" t="str">
        <f t="shared" si="19"/>
        <v/>
      </c>
      <c r="AP29" s="113" t="str">
        <f t="shared" si="20"/>
        <v>-</v>
      </c>
      <c r="AQ29" s="119"/>
      <c r="AR29" s="103" t="str">
        <f t="shared" si="21"/>
        <v/>
      </c>
      <c r="AY29" s="38" t="str">
        <f t="shared" si="1"/>
        <v/>
      </c>
      <c r="AZ29" s="38" t="str">
        <f t="shared" si="2"/>
        <v>0</v>
      </c>
      <c r="BA29" s="38" t="str">
        <f t="shared" si="3"/>
        <v>0</v>
      </c>
      <c r="BB29" s="38" t="str">
        <f t="shared" si="4"/>
        <v>0</v>
      </c>
      <c r="BC29" s="38">
        <f t="shared" si="5"/>
        <v>0</v>
      </c>
      <c r="BD29" s="38">
        <f t="shared" si="6"/>
        <v>0</v>
      </c>
      <c r="BL29" s="38" t="str">
        <f t="shared" si="7"/>
        <v/>
      </c>
      <c r="BM29" s="38" t="str">
        <f t="shared" si="8"/>
        <v/>
      </c>
      <c r="BN29" s="38" t="str">
        <f t="shared" si="9"/>
        <v/>
      </c>
      <c r="BO29" s="38" t="str">
        <f t="shared" si="10"/>
        <v/>
      </c>
      <c r="BP29" s="38" t="str">
        <f t="shared" si="11"/>
        <v/>
      </c>
      <c r="BQ29" s="38" t="str">
        <f t="shared" si="12"/>
        <v/>
      </c>
    </row>
    <row r="30" spans="1:69" ht="15.6" x14ac:dyDescent="0.3">
      <c r="A30" s="104" t="s">
        <v>265</v>
      </c>
      <c r="B30" s="397">
        <f>IF(ISBLANK(HLOOKUP($F$25,spelerslijsten!$B$1:$J$22,4,FALSE)),"",HLOOKUP($F$25,spelerslijsten!$B$1:$J$22,4,FALSE))</f>
        <v>2</v>
      </c>
      <c r="C30" s="398"/>
      <c r="D30" s="105"/>
      <c r="E30" s="106" t="str">
        <f>IF(ISBLANK(HLOOKUP($F$25,spelerslijsten!$B$1:$J$22,3,FALSE)),"",HLOOKUP($F$25,spelerslijsten!$B$1:$J$22,3,FALSE))</f>
        <v>Jasper van Houtum</v>
      </c>
      <c r="F30" s="105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8">
        <f t="shared" ref="V30:V39" si="23">SUMIF($AY$13:$AY$46,AT30,$BC$13:$BC$46)</f>
        <v>1</v>
      </c>
      <c r="W30" s="109" t="str">
        <f>IF(AU30&gt;0,"x","")</f>
        <v/>
      </c>
      <c r="X30" s="110" t="str">
        <f>IF(AU30&gt;1,"x","")</f>
        <v/>
      </c>
      <c r="Y30" s="103" t="str">
        <f>IF(AU30&gt;2,"x","")</f>
        <v/>
      </c>
      <c r="Z30" s="111"/>
      <c r="AA30" s="112"/>
      <c r="AB30" s="113" t="str">
        <f t="shared" si="16"/>
        <v>-</v>
      </c>
      <c r="AC30" s="112"/>
      <c r="AD30" s="114"/>
      <c r="AE30" s="115"/>
      <c r="AF30" s="115"/>
      <c r="AG30" s="116"/>
      <c r="AH30" s="117"/>
      <c r="AI30" s="117"/>
      <c r="AJ30" s="342"/>
      <c r="AK30" s="343"/>
      <c r="AL30" s="346"/>
      <c r="AM30" s="347"/>
      <c r="AN30" s="118"/>
      <c r="AO30" s="101" t="str">
        <f t="shared" si="19"/>
        <v/>
      </c>
      <c r="AP30" s="113" t="str">
        <f t="shared" si="20"/>
        <v>-</v>
      </c>
      <c r="AQ30" s="119"/>
      <c r="AR30" s="103" t="str">
        <f t="shared" si="21"/>
        <v/>
      </c>
      <c r="AT30" s="38" t="str">
        <f>CONCATENATE($AV$11&amp;B30)</f>
        <v>B2</v>
      </c>
      <c r="AU30" s="38">
        <f t="shared" si="18"/>
        <v>0</v>
      </c>
      <c r="AY30" s="38" t="str">
        <f t="shared" si="1"/>
        <v/>
      </c>
      <c r="AZ30" s="38" t="str">
        <f t="shared" si="2"/>
        <v>0</v>
      </c>
      <c r="BA30" s="38" t="str">
        <f t="shared" si="3"/>
        <v>0</v>
      </c>
      <c r="BB30" s="38" t="str">
        <f t="shared" si="4"/>
        <v>0</v>
      </c>
      <c r="BC30" s="38">
        <f t="shared" si="5"/>
        <v>0</v>
      </c>
      <c r="BD30" s="38">
        <f t="shared" si="6"/>
        <v>0</v>
      </c>
      <c r="BL30" s="38" t="str">
        <f t="shared" si="7"/>
        <v/>
      </c>
      <c r="BM30" s="38" t="str">
        <f t="shared" si="8"/>
        <v/>
      </c>
      <c r="BN30" s="38" t="str">
        <f t="shared" si="9"/>
        <v/>
      </c>
      <c r="BO30" s="38" t="str">
        <f t="shared" si="10"/>
        <v/>
      </c>
      <c r="BP30" s="38" t="str">
        <f t="shared" si="11"/>
        <v/>
      </c>
      <c r="BQ30" s="38" t="str">
        <f t="shared" si="12"/>
        <v/>
      </c>
    </row>
    <row r="31" spans="1:69" ht="15.6" x14ac:dyDescent="0.3">
      <c r="A31" s="120" t="s">
        <v>265</v>
      </c>
      <c r="B31" s="397">
        <f>IF(ISBLANK(HLOOKUP($F$25,spelerslijsten!$B$1:$J$22,6,FALSE)),"",HLOOKUP($F$25,spelerslijsten!$B$1:$J$22,6,FALSE))</f>
        <v>3</v>
      </c>
      <c r="C31" s="398"/>
      <c r="D31" s="121"/>
      <c r="E31" s="122" t="str">
        <f>IF(ISBLANK(HLOOKUP($F$25,spelerslijsten!$B$1:$J$22,5,FALSE)),"",HLOOKUP($F$25,spelerslijsten!$B$1:$J$22,5,FALSE))</f>
        <v>Arjan Dulos</v>
      </c>
      <c r="F31" s="12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08">
        <f t="shared" si="23"/>
        <v>1</v>
      </c>
      <c r="W31" s="109" t="str">
        <f t="shared" ref="W31:W39" si="24">IF(AU31&gt;0,"x","")</f>
        <v/>
      </c>
      <c r="X31" s="110" t="str">
        <f t="shared" ref="X31:X39" si="25">IF(AU31&gt;1,"x","")</f>
        <v/>
      </c>
      <c r="Y31" s="103" t="str">
        <f t="shared" ref="Y31:Y39" si="26">IF(AU31&gt;2,"x","")</f>
        <v/>
      </c>
      <c r="Z31" s="111"/>
      <c r="AA31" s="112"/>
      <c r="AB31" s="113" t="str">
        <f t="shared" si="16"/>
        <v>-</v>
      </c>
      <c r="AC31" s="112"/>
      <c r="AD31" s="114"/>
      <c r="AE31" s="115"/>
      <c r="AF31" s="115"/>
      <c r="AG31" s="116"/>
      <c r="AH31" s="117"/>
      <c r="AI31" s="117"/>
      <c r="AJ31" s="342"/>
      <c r="AK31" s="343"/>
      <c r="AL31" s="346"/>
      <c r="AM31" s="347"/>
      <c r="AN31" s="118"/>
      <c r="AO31" s="101" t="str">
        <f t="shared" si="19"/>
        <v/>
      </c>
      <c r="AP31" s="113" t="str">
        <f t="shared" si="20"/>
        <v>-</v>
      </c>
      <c r="AQ31" s="119"/>
      <c r="AR31" s="103" t="str">
        <f t="shared" si="21"/>
        <v/>
      </c>
      <c r="AT31" s="38" t="str">
        <f t="shared" ref="AT31:AT39" si="27">CONCATENATE($AV$11&amp;B31)</f>
        <v>B3</v>
      </c>
      <c r="AU31" s="38">
        <f t="shared" si="18"/>
        <v>0</v>
      </c>
      <c r="AY31" s="38" t="str">
        <f t="shared" si="1"/>
        <v/>
      </c>
      <c r="AZ31" s="38" t="str">
        <f t="shared" si="2"/>
        <v>0</v>
      </c>
      <c r="BA31" s="38" t="str">
        <f t="shared" si="3"/>
        <v>0</v>
      </c>
      <c r="BB31" s="38" t="str">
        <f t="shared" si="4"/>
        <v>0</v>
      </c>
      <c r="BC31" s="38">
        <f t="shared" si="5"/>
        <v>0</v>
      </c>
      <c r="BD31" s="38">
        <f t="shared" si="6"/>
        <v>0</v>
      </c>
      <c r="BL31" s="38" t="str">
        <f t="shared" si="7"/>
        <v/>
      </c>
      <c r="BM31" s="38" t="str">
        <f t="shared" si="8"/>
        <v/>
      </c>
      <c r="BN31" s="38" t="str">
        <f t="shared" si="9"/>
        <v/>
      </c>
      <c r="BO31" s="38" t="str">
        <f t="shared" si="10"/>
        <v/>
      </c>
      <c r="BP31" s="38" t="str">
        <f t="shared" si="11"/>
        <v/>
      </c>
      <c r="BQ31" s="38" t="str">
        <f t="shared" si="12"/>
        <v/>
      </c>
    </row>
    <row r="32" spans="1:69" ht="15.6" x14ac:dyDescent="0.3">
      <c r="A32" s="124"/>
      <c r="B32" s="397">
        <f>IF(ISBLANK(HLOOKUP($F$25,spelerslijsten!$B$1:$J$22,8,FALSE)),"",HLOOKUP($F$25,spelerslijsten!$B$1:$J$22,8,FALSE))</f>
        <v>4</v>
      </c>
      <c r="C32" s="398"/>
      <c r="D32" s="121"/>
      <c r="E32" s="122" t="str">
        <f>IF(ISBLANK(HLOOKUP($F$25,spelerslijsten!$B$1:$J$22,7,FALSE)),"",HLOOKUP($F$25,spelerslijsten!$B$1:$J$22,7,FALSE))</f>
        <v>Kim Wolf</v>
      </c>
      <c r="F32" s="12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08">
        <f t="shared" si="23"/>
        <v>0</v>
      </c>
      <c r="W32" s="109" t="str">
        <f t="shared" si="24"/>
        <v/>
      </c>
      <c r="X32" s="110" t="str">
        <f t="shared" si="25"/>
        <v/>
      </c>
      <c r="Y32" s="103" t="str">
        <f t="shared" si="26"/>
        <v/>
      </c>
      <c r="Z32" s="111"/>
      <c r="AA32" s="112"/>
      <c r="AB32" s="113" t="str">
        <f t="shared" si="16"/>
        <v>-</v>
      </c>
      <c r="AC32" s="112"/>
      <c r="AD32" s="114"/>
      <c r="AE32" s="115"/>
      <c r="AF32" s="115"/>
      <c r="AG32" s="116"/>
      <c r="AH32" s="117"/>
      <c r="AI32" s="117"/>
      <c r="AJ32" s="342"/>
      <c r="AK32" s="343"/>
      <c r="AL32" s="346"/>
      <c r="AM32" s="347"/>
      <c r="AN32" s="118"/>
      <c r="AO32" s="101" t="str">
        <f t="shared" si="19"/>
        <v/>
      </c>
      <c r="AP32" s="113" t="str">
        <f t="shared" si="20"/>
        <v>-</v>
      </c>
      <c r="AQ32" s="119"/>
      <c r="AR32" s="103" t="str">
        <f t="shared" si="21"/>
        <v/>
      </c>
      <c r="AT32" s="38" t="str">
        <f t="shared" si="27"/>
        <v>B4</v>
      </c>
      <c r="AU32" s="38">
        <f t="shared" si="18"/>
        <v>0</v>
      </c>
      <c r="AY32" s="38" t="str">
        <f t="shared" si="1"/>
        <v/>
      </c>
      <c r="AZ32" s="38" t="str">
        <f t="shared" si="2"/>
        <v>0</v>
      </c>
      <c r="BA32" s="38" t="str">
        <f t="shared" si="3"/>
        <v>0</v>
      </c>
      <c r="BB32" s="38" t="str">
        <f t="shared" si="4"/>
        <v>0</v>
      </c>
      <c r="BC32" s="38">
        <f t="shared" si="5"/>
        <v>0</v>
      </c>
      <c r="BD32" s="38">
        <f t="shared" si="6"/>
        <v>0</v>
      </c>
      <c r="BL32" s="38" t="str">
        <f t="shared" si="7"/>
        <v/>
      </c>
      <c r="BM32" s="38" t="str">
        <f t="shared" si="8"/>
        <v/>
      </c>
      <c r="BN32" s="38" t="str">
        <f t="shared" si="9"/>
        <v/>
      </c>
      <c r="BO32" s="38" t="str">
        <f t="shared" si="10"/>
        <v/>
      </c>
      <c r="BP32" s="38" t="str">
        <f t="shared" si="11"/>
        <v/>
      </c>
      <c r="BQ32" s="38" t="str">
        <f t="shared" si="12"/>
        <v/>
      </c>
    </row>
    <row r="33" spans="1:69" ht="15.6" x14ac:dyDescent="0.3">
      <c r="A33" s="124" t="s">
        <v>265</v>
      </c>
      <c r="B33" s="397">
        <f>IF(ISBLANK(HLOOKUP($F$25,spelerslijsten!$B$1:$J$22,10,FALSE)),"",HLOOKUP($F$25,spelerslijsten!$B$1:$J$22,10,FALSE))</f>
        <v>5</v>
      </c>
      <c r="C33" s="398"/>
      <c r="D33" s="121"/>
      <c r="E33" s="122" t="str">
        <f>IF(ISBLANK(HLOOKUP($F$25,spelerslijsten!$B$1:$J$22,9,FALSE)),"",HLOOKUP($F$25,spelerslijsten!$B$1:$J$22,9,FALSE))</f>
        <v>Kevin van Boekel</v>
      </c>
      <c r="F33" s="12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08">
        <f t="shared" si="23"/>
        <v>0</v>
      </c>
      <c r="W33" s="109" t="str">
        <f t="shared" si="24"/>
        <v/>
      </c>
      <c r="X33" s="110" t="str">
        <f t="shared" si="25"/>
        <v/>
      </c>
      <c r="Y33" s="103" t="str">
        <f t="shared" si="26"/>
        <v/>
      </c>
      <c r="Z33" s="111"/>
      <c r="AA33" s="112"/>
      <c r="AB33" s="113" t="str">
        <f t="shared" si="16"/>
        <v>-</v>
      </c>
      <c r="AC33" s="112"/>
      <c r="AD33" s="114"/>
      <c r="AE33" s="115"/>
      <c r="AF33" s="115"/>
      <c r="AG33" s="116"/>
      <c r="AH33" s="117"/>
      <c r="AI33" s="117"/>
      <c r="AJ33" s="342"/>
      <c r="AK33" s="343"/>
      <c r="AL33" s="346"/>
      <c r="AM33" s="347"/>
      <c r="AN33" s="118"/>
      <c r="AO33" s="101" t="str">
        <f t="shared" si="19"/>
        <v/>
      </c>
      <c r="AP33" s="113" t="str">
        <f t="shared" si="20"/>
        <v>-</v>
      </c>
      <c r="AQ33" s="119"/>
      <c r="AR33" s="103" t="str">
        <f t="shared" si="21"/>
        <v/>
      </c>
      <c r="AT33" s="38" t="str">
        <f t="shared" si="27"/>
        <v>B5</v>
      </c>
      <c r="AU33" s="38">
        <f t="shared" si="18"/>
        <v>0</v>
      </c>
      <c r="AY33" s="38" t="str">
        <f t="shared" si="1"/>
        <v/>
      </c>
      <c r="AZ33" s="38" t="str">
        <f t="shared" si="2"/>
        <v>0</v>
      </c>
      <c r="BA33" s="38" t="str">
        <f t="shared" si="3"/>
        <v>0</v>
      </c>
      <c r="BB33" s="38" t="str">
        <f t="shared" si="4"/>
        <v>0</v>
      </c>
      <c r="BC33" s="38">
        <f t="shared" si="5"/>
        <v>0</v>
      </c>
      <c r="BD33" s="38">
        <f t="shared" si="6"/>
        <v>0</v>
      </c>
      <c r="BL33" s="38" t="str">
        <f t="shared" si="7"/>
        <v/>
      </c>
      <c r="BM33" s="38" t="str">
        <f t="shared" si="8"/>
        <v/>
      </c>
      <c r="BN33" s="38" t="str">
        <f t="shared" si="9"/>
        <v/>
      </c>
      <c r="BO33" s="38" t="str">
        <f t="shared" si="10"/>
        <v/>
      </c>
      <c r="BP33" s="38" t="str">
        <f t="shared" si="11"/>
        <v/>
      </c>
      <c r="BQ33" s="38" t="str">
        <f t="shared" si="12"/>
        <v/>
      </c>
    </row>
    <row r="34" spans="1:69" ht="15.6" x14ac:dyDescent="0.3">
      <c r="A34" s="124" t="s">
        <v>265</v>
      </c>
      <c r="B34" s="397">
        <f>IF(ISBLANK(HLOOKUP($F$25,spelerslijsten!$B$1:$J$22,12,FALSE)),"",HLOOKUP($F$25,spelerslijsten!$B$1:$J$22,12,FALSE))</f>
        <v>6</v>
      </c>
      <c r="C34" s="398"/>
      <c r="D34" s="121"/>
      <c r="E34" s="122" t="str">
        <f>IF(ISBLANK(HLOOKUP($F$25,spelerslijsten!$B$1:$J$22,11,FALSE)),"",HLOOKUP($F$25,spelerslijsten!$B$1:$J$22,11,FALSE))</f>
        <v>Kevin van Kollenburg</v>
      </c>
      <c r="F34" s="12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08">
        <f t="shared" si="23"/>
        <v>0</v>
      </c>
      <c r="W34" s="109" t="str">
        <f t="shared" si="24"/>
        <v/>
      </c>
      <c r="X34" s="110" t="str">
        <f t="shared" si="25"/>
        <v/>
      </c>
      <c r="Y34" s="103" t="str">
        <f t="shared" si="26"/>
        <v/>
      </c>
      <c r="Z34" s="111"/>
      <c r="AA34" s="112"/>
      <c r="AB34" s="113" t="str">
        <f t="shared" si="16"/>
        <v>-</v>
      </c>
      <c r="AC34" s="112"/>
      <c r="AD34" s="114"/>
      <c r="AE34" s="115"/>
      <c r="AF34" s="115"/>
      <c r="AG34" s="116"/>
      <c r="AH34" s="117"/>
      <c r="AI34" s="117"/>
      <c r="AJ34" s="342"/>
      <c r="AK34" s="343"/>
      <c r="AL34" s="346"/>
      <c r="AM34" s="347"/>
      <c r="AN34" s="118"/>
      <c r="AO34" s="101" t="str">
        <f t="shared" si="19"/>
        <v/>
      </c>
      <c r="AP34" s="113" t="str">
        <f t="shared" si="20"/>
        <v>-</v>
      </c>
      <c r="AQ34" s="119"/>
      <c r="AR34" s="103" t="str">
        <f t="shared" si="21"/>
        <v/>
      </c>
      <c r="AT34" s="38" t="str">
        <f t="shared" si="27"/>
        <v>B6</v>
      </c>
      <c r="AU34" s="38">
        <f t="shared" si="18"/>
        <v>0</v>
      </c>
      <c r="AY34" s="38" t="str">
        <f t="shared" si="1"/>
        <v/>
      </c>
      <c r="AZ34" s="38" t="str">
        <f t="shared" si="2"/>
        <v>0</v>
      </c>
      <c r="BA34" s="38" t="str">
        <f t="shared" si="3"/>
        <v>0</v>
      </c>
      <c r="BB34" s="38" t="str">
        <f t="shared" si="4"/>
        <v>0</v>
      </c>
      <c r="BC34" s="38">
        <f t="shared" si="5"/>
        <v>0</v>
      </c>
      <c r="BD34" s="38">
        <f t="shared" si="6"/>
        <v>0</v>
      </c>
      <c r="BL34" s="38" t="str">
        <f t="shared" si="7"/>
        <v/>
      </c>
      <c r="BM34" s="38" t="str">
        <f t="shared" si="8"/>
        <v/>
      </c>
      <c r="BN34" s="38" t="str">
        <f t="shared" si="9"/>
        <v/>
      </c>
      <c r="BO34" s="38" t="str">
        <f t="shared" si="10"/>
        <v/>
      </c>
      <c r="BP34" s="38" t="str">
        <f t="shared" si="11"/>
        <v/>
      </c>
      <c r="BQ34" s="38" t="str">
        <f t="shared" si="12"/>
        <v/>
      </c>
    </row>
    <row r="35" spans="1:69" ht="15.6" x14ac:dyDescent="0.3">
      <c r="A35" s="124" t="s">
        <v>265</v>
      </c>
      <c r="B35" s="397">
        <f>IF(ISBLANK(HLOOKUP($F$25,spelerslijsten!$B$1:$J$22,14,FALSE)),"",HLOOKUP($F$25,spelerslijsten!$B$1:$J$22,14,FALSE))</f>
        <v>7</v>
      </c>
      <c r="C35" s="398"/>
      <c r="D35" s="121"/>
      <c r="E35" s="122" t="str">
        <f>IF(ISBLANK(HLOOKUP($F$25,spelerslijsten!$B$1:$J$22,13,FALSE)),"",HLOOKUP($F$25,spelerslijsten!$B$1:$J$22,13,FALSE))</f>
        <v>Tim van den Akker</v>
      </c>
      <c r="F35" s="12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08">
        <f t="shared" si="23"/>
        <v>3</v>
      </c>
      <c r="W35" s="109" t="str">
        <f t="shared" si="24"/>
        <v/>
      </c>
      <c r="X35" s="110" t="str">
        <f t="shared" si="25"/>
        <v/>
      </c>
      <c r="Y35" s="103" t="str">
        <f t="shared" si="26"/>
        <v/>
      </c>
      <c r="Z35" s="111"/>
      <c r="AA35" s="112"/>
      <c r="AB35" s="113" t="str">
        <f t="shared" si="16"/>
        <v>-</v>
      </c>
      <c r="AC35" s="112"/>
      <c r="AD35" s="114"/>
      <c r="AE35" s="115"/>
      <c r="AF35" s="115"/>
      <c r="AG35" s="116"/>
      <c r="AH35" s="117"/>
      <c r="AI35" s="117"/>
      <c r="AJ35" s="342"/>
      <c r="AK35" s="343"/>
      <c r="AL35" s="346"/>
      <c r="AM35" s="347"/>
      <c r="AN35" s="118"/>
      <c r="AO35" s="101" t="str">
        <f t="shared" si="19"/>
        <v/>
      </c>
      <c r="AP35" s="113" t="str">
        <f t="shared" si="20"/>
        <v>-</v>
      </c>
      <c r="AQ35" s="119"/>
      <c r="AR35" s="103" t="str">
        <f t="shared" si="21"/>
        <v/>
      </c>
      <c r="AT35" s="38" t="str">
        <f t="shared" si="27"/>
        <v>B7</v>
      </c>
      <c r="AU35" s="38">
        <f t="shared" si="18"/>
        <v>0</v>
      </c>
      <c r="AY35" s="38" t="str">
        <f t="shared" si="1"/>
        <v/>
      </c>
      <c r="AZ35" s="38" t="str">
        <f t="shared" si="2"/>
        <v>0</v>
      </c>
      <c r="BA35" s="38" t="str">
        <f t="shared" si="3"/>
        <v>0</v>
      </c>
      <c r="BB35" s="38" t="str">
        <f t="shared" si="4"/>
        <v>0</v>
      </c>
      <c r="BC35" s="38">
        <f t="shared" si="5"/>
        <v>0</v>
      </c>
      <c r="BD35" s="38">
        <f t="shared" si="6"/>
        <v>0</v>
      </c>
      <c r="BL35" s="38" t="str">
        <f t="shared" si="7"/>
        <v/>
      </c>
      <c r="BM35" s="38" t="str">
        <f t="shared" si="8"/>
        <v/>
      </c>
      <c r="BN35" s="38" t="str">
        <f t="shared" si="9"/>
        <v/>
      </c>
      <c r="BO35" s="38" t="str">
        <f t="shared" si="10"/>
        <v/>
      </c>
      <c r="BP35" s="38" t="str">
        <f t="shared" si="11"/>
        <v/>
      </c>
      <c r="BQ35" s="38" t="str">
        <f t="shared" si="12"/>
        <v/>
      </c>
    </row>
    <row r="36" spans="1:69" ht="15.6" x14ac:dyDescent="0.3">
      <c r="A36" s="124"/>
      <c r="B36" s="397">
        <f>IF(ISBLANK(HLOOKUP($F$25,spelerslijsten!$B$1:$J$22,16,FALSE)),"",HLOOKUP($F$25,spelerslijsten!$B$1:$J$22,16,FALSE))</f>
        <v>8</v>
      </c>
      <c r="C36" s="398"/>
      <c r="D36" s="121"/>
      <c r="E36" s="122" t="str">
        <f>IF(ISBLANK(HLOOKUP($F$25,spelerslijsten!$B$1:$J$22,15,FALSE)),"",HLOOKUP($F$25,spelerslijsten!$B$1:$J$22,15,FALSE))</f>
        <v>Marloes Beks-Geurts</v>
      </c>
      <c r="F36" s="12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08">
        <f t="shared" si="23"/>
        <v>0</v>
      </c>
      <c r="W36" s="109" t="str">
        <f t="shared" si="24"/>
        <v/>
      </c>
      <c r="X36" s="110" t="str">
        <f t="shared" si="25"/>
        <v/>
      </c>
      <c r="Y36" s="103" t="str">
        <f t="shared" si="26"/>
        <v/>
      </c>
      <c r="Z36" s="111"/>
      <c r="AA36" s="112"/>
      <c r="AB36" s="113" t="str">
        <f t="shared" si="16"/>
        <v>-</v>
      </c>
      <c r="AC36" s="112"/>
      <c r="AD36" s="114"/>
      <c r="AE36" s="115"/>
      <c r="AF36" s="115"/>
      <c r="AG36" s="116"/>
      <c r="AH36" s="117"/>
      <c r="AI36" s="117"/>
      <c r="AJ36" s="342"/>
      <c r="AK36" s="343"/>
      <c r="AL36" s="346"/>
      <c r="AM36" s="347"/>
      <c r="AN36" s="118"/>
      <c r="AO36" s="101" t="str">
        <f t="shared" si="19"/>
        <v/>
      </c>
      <c r="AP36" s="113" t="str">
        <f t="shared" si="20"/>
        <v>-</v>
      </c>
      <c r="AQ36" s="119"/>
      <c r="AR36" s="103" t="str">
        <f t="shared" si="21"/>
        <v/>
      </c>
      <c r="AT36" s="38" t="str">
        <f t="shared" si="27"/>
        <v>B8</v>
      </c>
      <c r="AU36" s="38">
        <f t="shared" si="18"/>
        <v>0</v>
      </c>
      <c r="AY36" s="38" t="str">
        <f t="shared" si="1"/>
        <v/>
      </c>
      <c r="AZ36" s="38" t="str">
        <f t="shared" si="2"/>
        <v>0</v>
      </c>
      <c r="BA36" s="38" t="str">
        <f t="shared" si="3"/>
        <v>0</v>
      </c>
      <c r="BB36" s="38" t="str">
        <f t="shared" si="4"/>
        <v>0</v>
      </c>
      <c r="BC36" s="38">
        <f t="shared" si="5"/>
        <v>0</v>
      </c>
      <c r="BD36" s="38">
        <f t="shared" si="6"/>
        <v>0</v>
      </c>
      <c r="BL36" s="38" t="str">
        <f t="shared" si="7"/>
        <v/>
      </c>
      <c r="BM36" s="38" t="str">
        <f t="shared" si="8"/>
        <v/>
      </c>
      <c r="BN36" s="38" t="str">
        <f t="shared" si="9"/>
        <v/>
      </c>
      <c r="BO36" s="38" t="str">
        <f t="shared" si="10"/>
        <v/>
      </c>
      <c r="BP36" s="38" t="str">
        <f t="shared" si="11"/>
        <v/>
      </c>
      <c r="BQ36" s="38" t="str">
        <f t="shared" si="12"/>
        <v/>
      </c>
    </row>
    <row r="37" spans="1:69" ht="15.6" x14ac:dyDescent="0.3">
      <c r="A37" s="124"/>
      <c r="B37" s="397">
        <f>IF(ISBLANK(HLOOKUP($F$25,spelerslijsten!$B$1:$J$22,18,FALSE)),"",HLOOKUP($F$25,spelerslijsten!$B$1:$J$22,18,FALSE))</f>
        <v>9</v>
      </c>
      <c r="C37" s="398"/>
      <c r="D37" s="121"/>
      <c r="E37" s="122" t="str">
        <f>IF(ISBLANK(HLOOKUP($F$25,spelerslijsten!$B$1:$J$22,17,FALSE)),"",HLOOKUP($F$25,spelerslijsten!$B$1:$J$22,17,FALSE))</f>
        <v>Lincy Ruijs</v>
      </c>
      <c r="F37" s="12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08">
        <f t="shared" si="23"/>
        <v>0</v>
      </c>
      <c r="W37" s="109" t="str">
        <f t="shared" si="24"/>
        <v/>
      </c>
      <c r="X37" s="110" t="str">
        <f t="shared" si="25"/>
        <v/>
      </c>
      <c r="Y37" s="103" t="str">
        <f t="shared" si="26"/>
        <v/>
      </c>
      <c r="Z37" s="111"/>
      <c r="AA37" s="112"/>
      <c r="AB37" s="113" t="str">
        <f t="shared" si="16"/>
        <v>-</v>
      </c>
      <c r="AC37" s="112"/>
      <c r="AD37" s="114"/>
      <c r="AE37" s="115"/>
      <c r="AF37" s="115"/>
      <c r="AG37" s="116"/>
      <c r="AH37" s="117"/>
      <c r="AI37" s="117"/>
      <c r="AJ37" s="342"/>
      <c r="AK37" s="343"/>
      <c r="AL37" s="346"/>
      <c r="AM37" s="347"/>
      <c r="AN37" s="118"/>
      <c r="AO37" s="101" t="str">
        <f t="shared" si="19"/>
        <v/>
      </c>
      <c r="AP37" s="113" t="str">
        <f t="shared" si="20"/>
        <v>-</v>
      </c>
      <c r="AQ37" s="119"/>
      <c r="AR37" s="103" t="str">
        <f t="shared" si="21"/>
        <v/>
      </c>
      <c r="AT37" s="38" t="str">
        <f t="shared" si="27"/>
        <v>B9</v>
      </c>
      <c r="AU37" s="38">
        <f t="shared" si="18"/>
        <v>0</v>
      </c>
      <c r="AY37" s="38" t="str">
        <f t="shared" si="1"/>
        <v/>
      </c>
      <c r="AZ37" s="38" t="str">
        <f t="shared" si="2"/>
        <v>0</v>
      </c>
      <c r="BA37" s="38" t="str">
        <f t="shared" si="3"/>
        <v>0</v>
      </c>
      <c r="BB37" s="38" t="str">
        <f t="shared" si="4"/>
        <v>0</v>
      </c>
      <c r="BC37" s="38">
        <f t="shared" si="5"/>
        <v>0</v>
      </c>
      <c r="BD37" s="38">
        <f t="shared" si="6"/>
        <v>0</v>
      </c>
      <c r="BL37" s="38" t="str">
        <f t="shared" si="7"/>
        <v/>
      </c>
      <c r="BM37" s="38" t="str">
        <f t="shared" si="8"/>
        <v/>
      </c>
      <c r="BN37" s="38" t="str">
        <f t="shared" si="9"/>
        <v/>
      </c>
      <c r="BO37" s="38" t="str">
        <f t="shared" si="10"/>
        <v/>
      </c>
      <c r="BP37" s="38" t="str">
        <f t="shared" si="11"/>
        <v/>
      </c>
      <c r="BQ37" s="38" t="str">
        <f t="shared" si="12"/>
        <v/>
      </c>
    </row>
    <row r="38" spans="1:69" ht="15.6" x14ac:dyDescent="0.3">
      <c r="A38" s="124" t="s">
        <v>265</v>
      </c>
      <c r="B38" s="397">
        <f>IF(ISBLANK(HLOOKUP($F$25,spelerslijsten!$B$1:$J$22,20,FALSE)),"",HLOOKUP($F$25,spelerslijsten!$B$1:$J$22,20,FALSE))</f>
        <v>10</v>
      </c>
      <c r="C38" s="398"/>
      <c r="D38" s="121"/>
      <c r="E38" s="122" t="str">
        <f>IF(ISBLANK(HLOOKUP($F$25,spelerslijsten!$B$1:$J$22,19,FALSE)),"",HLOOKUP($F$25,spelerslijsten!$B$1:$J$22,19,FALSE))</f>
        <v>Eef de Ruijter</v>
      </c>
      <c r="F38" s="12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08">
        <f t="shared" si="23"/>
        <v>2</v>
      </c>
      <c r="W38" s="109" t="str">
        <f t="shared" si="24"/>
        <v/>
      </c>
      <c r="X38" s="110" t="str">
        <f t="shared" si="25"/>
        <v/>
      </c>
      <c r="Y38" s="103" t="str">
        <f t="shared" si="26"/>
        <v/>
      </c>
      <c r="Z38" s="111"/>
      <c r="AA38" s="112"/>
      <c r="AB38" s="113" t="str">
        <f t="shared" si="16"/>
        <v>-</v>
      </c>
      <c r="AC38" s="112"/>
      <c r="AD38" s="114"/>
      <c r="AE38" s="115"/>
      <c r="AF38" s="115"/>
      <c r="AG38" s="116"/>
      <c r="AH38" s="117"/>
      <c r="AI38" s="117"/>
      <c r="AJ38" s="342"/>
      <c r="AK38" s="343"/>
      <c r="AL38" s="346"/>
      <c r="AM38" s="347"/>
      <c r="AN38" s="118"/>
      <c r="AO38" s="101" t="str">
        <f t="shared" si="19"/>
        <v/>
      </c>
      <c r="AP38" s="113" t="str">
        <f t="shared" si="20"/>
        <v>-</v>
      </c>
      <c r="AQ38" s="119"/>
      <c r="AR38" s="103" t="str">
        <f t="shared" si="21"/>
        <v/>
      </c>
      <c r="AT38" s="38" t="str">
        <f t="shared" si="27"/>
        <v>B10</v>
      </c>
      <c r="AU38" s="38">
        <f t="shared" si="18"/>
        <v>0</v>
      </c>
      <c r="AY38" s="38" t="str">
        <f t="shared" si="1"/>
        <v/>
      </c>
      <c r="AZ38" s="38" t="str">
        <f t="shared" si="2"/>
        <v>0</v>
      </c>
      <c r="BA38" s="38" t="str">
        <f t="shared" si="3"/>
        <v>0</v>
      </c>
      <c r="BB38" s="38" t="str">
        <f t="shared" si="4"/>
        <v>0</v>
      </c>
      <c r="BC38" s="38">
        <f t="shared" si="5"/>
        <v>0</v>
      </c>
      <c r="BD38" s="38">
        <f t="shared" si="6"/>
        <v>0</v>
      </c>
      <c r="BL38" s="38" t="str">
        <f t="shared" si="7"/>
        <v/>
      </c>
      <c r="BM38" s="38" t="str">
        <f t="shared" si="8"/>
        <v/>
      </c>
      <c r="BN38" s="38" t="str">
        <f t="shared" si="9"/>
        <v/>
      </c>
      <c r="BO38" s="38" t="str">
        <f t="shared" si="10"/>
        <v/>
      </c>
      <c r="BP38" s="38" t="str">
        <f t="shared" si="11"/>
        <v/>
      </c>
      <c r="BQ38" s="38" t="str">
        <f t="shared" si="12"/>
        <v/>
      </c>
    </row>
    <row r="39" spans="1:69" ht="15.6" x14ac:dyDescent="0.3">
      <c r="A39" s="125"/>
      <c r="B39" s="397">
        <f>IF(ISBLANK(HLOOKUP($F$25,spelerslijsten!$B$1:$J$22,22,FALSE)),"",HLOOKUP($F$25,spelerslijsten!$B$1:$J$22,22,FALSE))</f>
        <v>11</v>
      </c>
      <c r="C39" s="398"/>
      <c r="D39" s="126"/>
      <c r="E39" s="259" t="str">
        <f>IF(ISBLANK(HLOOKUP($F$25,spelerslijsten!$B$1:$J$22,21,FALSE)),"",HLOOKUP($F$25,spelerslijsten!$B$1:$J$22,21,FALSE))</f>
        <v>Finn van der Krift</v>
      </c>
      <c r="F39" s="126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08">
        <f t="shared" si="23"/>
        <v>0</v>
      </c>
      <c r="W39" s="109" t="str">
        <f t="shared" si="24"/>
        <v/>
      </c>
      <c r="X39" s="110" t="str">
        <f t="shared" si="25"/>
        <v/>
      </c>
      <c r="Y39" s="103" t="str">
        <f t="shared" si="26"/>
        <v/>
      </c>
      <c r="Z39" s="111"/>
      <c r="AA39" s="112"/>
      <c r="AB39" s="113" t="str">
        <f t="shared" si="16"/>
        <v>-</v>
      </c>
      <c r="AC39" s="112"/>
      <c r="AD39" s="114"/>
      <c r="AE39" s="115"/>
      <c r="AF39" s="115"/>
      <c r="AG39" s="116"/>
      <c r="AH39" s="117"/>
      <c r="AI39" s="117"/>
      <c r="AJ39" s="342"/>
      <c r="AK39" s="343"/>
      <c r="AL39" s="346"/>
      <c r="AM39" s="347"/>
      <c r="AN39" s="118"/>
      <c r="AO39" s="101" t="str">
        <f t="shared" si="19"/>
        <v/>
      </c>
      <c r="AP39" s="113" t="str">
        <f t="shared" si="20"/>
        <v>-</v>
      </c>
      <c r="AQ39" s="119"/>
      <c r="AR39" s="103" t="str">
        <f t="shared" si="21"/>
        <v/>
      </c>
      <c r="AT39" s="38" t="str">
        <f t="shared" si="27"/>
        <v>B11</v>
      </c>
      <c r="AU39" s="38">
        <f t="shared" si="18"/>
        <v>0</v>
      </c>
      <c r="AY39" s="38" t="str">
        <f t="shared" si="1"/>
        <v/>
      </c>
      <c r="AZ39" s="38" t="str">
        <f t="shared" si="2"/>
        <v>0</v>
      </c>
      <c r="BA39" s="38" t="str">
        <f t="shared" si="3"/>
        <v>0</v>
      </c>
      <c r="BB39" s="38" t="str">
        <f t="shared" si="4"/>
        <v>0</v>
      </c>
      <c r="BC39" s="38">
        <f t="shared" si="5"/>
        <v>0</v>
      </c>
      <c r="BD39" s="38">
        <f t="shared" si="6"/>
        <v>0</v>
      </c>
      <c r="BL39" s="38" t="str">
        <f t="shared" si="7"/>
        <v/>
      </c>
      <c r="BM39" s="38" t="str">
        <f t="shared" si="8"/>
        <v/>
      </c>
      <c r="BN39" s="38" t="str">
        <f t="shared" si="9"/>
        <v/>
      </c>
      <c r="BO39" s="38" t="str">
        <f t="shared" si="10"/>
        <v/>
      </c>
      <c r="BP39" s="38" t="str">
        <f t="shared" si="11"/>
        <v/>
      </c>
      <c r="BQ39" s="38" t="str">
        <f t="shared" si="12"/>
        <v/>
      </c>
    </row>
    <row r="40" spans="1:69" ht="16.2" thickBot="1" x14ac:dyDescent="0.35">
      <c r="A40" s="71" t="s">
        <v>67</v>
      </c>
      <c r="B40" s="72"/>
      <c r="C40" s="72"/>
      <c r="D40" s="72"/>
      <c r="E40" s="72"/>
      <c r="F40" s="72"/>
      <c r="G40" s="72"/>
      <c r="H40" s="72"/>
      <c r="I40" s="399">
        <f>HLOOKUP(F25,spelerslijsten!B1:J25,25,FALSE)</f>
        <v>2</v>
      </c>
      <c r="J40" s="400"/>
      <c r="K40" s="74" t="s">
        <v>23</v>
      </c>
      <c r="L40" s="72"/>
      <c r="M40" s="72"/>
      <c r="N40" s="129" t="str">
        <f>HLOOKUP(F25,spelerslijsten!B1:J25,23,FALSE)</f>
        <v>Kevin van Boekel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30"/>
      <c r="Z40" s="111"/>
      <c r="AA40" s="112"/>
      <c r="AB40" s="113" t="str">
        <f t="shared" si="16"/>
        <v>-</v>
      </c>
      <c r="AC40" s="112"/>
      <c r="AD40" s="114"/>
      <c r="AE40" s="115"/>
      <c r="AF40" s="115"/>
      <c r="AG40" s="116"/>
      <c r="AH40" s="117"/>
      <c r="AI40" s="117"/>
      <c r="AJ40" s="342"/>
      <c r="AK40" s="343"/>
      <c r="AL40" s="346"/>
      <c r="AM40" s="347"/>
      <c r="AN40" s="118"/>
      <c r="AO40" s="101" t="str">
        <f t="shared" si="19"/>
        <v/>
      </c>
      <c r="AP40" s="113" t="str">
        <f t="shared" si="20"/>
        <v>-</v>
      </c>
      <c r="AQ40" s="119"/>
      <c r="AR40" s="103" t="str">
        <f t="shared" si="21"/>
        <v/>
      </c>
      <c r="AY40" s="38" t="str">
        <f t="shared" si="1"/>
        <v/>
      </c>
      <c r="AZ40" s="38" t="str">
        <f t="shared" si="2"/>
        <v>0</v>
      </c>
      <c r="BA40" s="38" t="str">
        <f t="shared" si="3"/>
        <v>0</v>
      </c>
      <c r="BB40" s="38" t="str">
        <f t="shared" si="4"/>
        <v>0</v>
      </c>
      <c r="BC40" s="38">
        <f t="shared" si="5"/>
        <v>0</v>
      </c>
      <c r="BD40" s="38">
        <f t="shared" si="6"/>
        <v>0</v>
      </c>
      <c r="BL40" s="38" t="str">
        <f t="shared" si="7"/>
        <v/>
      </c>
      <c r="BM40" s="38" t="str">
        <f t="shared" si="8"/>
        <v/>
      </c>
      <c r="BN40" s="38" t="str">
        <f t="shared" si="9"/>
        <v/>
      </c>
      <c r="BO40" s="38" t="str">
        <f t="shared" si="10"/>
        <v/>
      </c>
      <c r="BP40" s="38" t="str">
        <f t="shared" si="11"/>
        <v/>
      </c>
      <c r="BQ40" s="38" t="str">
        <f t="shared" si="12"/>
        <v/>
      </c>
    </row>
    <row r="41" spans="1:69" ht="15.6" x14ac:dyDescent="0.3">
      <c r="A41" s="157" t="s">
        <v>68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158"/>
      <c r="Z41" s="111"/>
      <c r="AA41" s="112"/>
      <c r="AB41" s="113" t="str">
        <f t="shared" si="16"/>
        <v>-</v>
      </c>
      <c r="AC41" s="112"/>
      <c r="AD41" s="114"/>
      <c r="AE41" s="115"/>
      <c r="AF41" s="115"/>
      <c r="AG41" s="116"/>
      <c r="AH41" s="117"/>
      <c r="AI41" s="117"/>
      <c r="AJ41" s="342"/>
      <c r="AK41" s="343"/>
      <c r="AL41" s="346"/>
      <c r="AM41" s="347"/>
      <c r="AN41" s="118"/>
      <c r="AO41" s="101" t="str">
        <f t="shared" si="19"/>
        <v/>
      </c>
      <c r="AP41" s="113" t="str">
        <f t="shared" si="20"/>
        <v>-</v>
      </c>
      <c r="AQ41" s="119"/>
      <c r="AR41" s="103" t="str">
        <f t="shared" si="21"/>
        <v/>
      </c>
      <c r="AY41" s="38" t="str">
        <f t="shared" si="1"/>
        <v/>
      </c>
      <c r="AZ41" s="38" t="str">
        <f t="shared" si="2"/>
        <v>0</v>
      </c>
      <c r="BA41" s="38" t="str">
        <f t="shared" si="3"/>
        <v>0</v>
      </c>
      <c r="BB41" s="38" t="str">
        <f t="shared" si="4"/>
        <v>0</v>
      </c>
      <c r="BC41" s="38">
        <f t="shared" si="5"/>
        <v>0</v>
      </c>
      <c r="BD41" s="38">
        <f t="shared" si="6"/>
        <v>0</v>
      </c>
      <c r="BL41" s="38" t="str">
        <f t="shared" si="7"/>
        <v/>
      </c>
      <c r="BM41" s="38" t="str">
        <f t="shared" si="8"/>
        <v/>
      </c>
      <c r="BN41" s="38" t="str">
        <f t="shared" si="9"/>
        <v/>
      </c>
      <c r="BO41" s="38" t="str">
        <f t="shared" si="10"/>
        <v/>
      </c>
      <c r="BP41" s="38" t="str">
        <f t="shared" si="11"/>
        <v/>
      </c>
      <c r="BQ41" s="38" t="str">
        <f t="shared" si="12"/>
        <v/>
      </c>
    </row>
    <row r="42" spans="1:69" ht="15.6" x14ac:dyDescent="0.3">
      <c r="A42" s="15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60"/>
      <c r="Z42" s="111"/>
      <c r="AA42" s="112"/>
      <c r="AB42" s="113" t="str">
        <f t="shared" si="16"/>
        <v>-</v>
      </c>
      <c r="AC42" s="112"/>
      <c r="AD42" s="114"/>
      <c r="AE42" s="115"/>
      <c r="AF42" s="115"/>
      <c r="AG42" s="116"/>
      <c r="AH42" s="117"/>
      <c r="AI42" s="117"/>
      <c r="AJ42" s="342"/>
      <c r="AK42" s="343"/>
      <c r="AL42" s="346"/>
      <c r="AM42" s="347"/>
      <c r="AN42" s="118"/>
      <c r="AO42" s="101" t="str">
        <f t="shared" si="19"/>
        <v/>
      </c>
      <c r="AP42" s="113" t="str">
        <f t="shared" si="20"/>
        <v>-</v>
      </c>
      <c r="AQ42" s="119"/>
      <c r="AR42" s="103" t="str">
        <f t="shared" si="21"/>
        <v/>
      </c>
      <c r="AY42" s="38" t="str">
        <f t="shared" si="1"/>
        <v/>
      </c>
      <c r="AZ42" s="38" t="str">
        <f t="shared" si="2"/>
        <v>0</v>
      </c>
      <c r="BA42" s="38" t="str">
        <f t="shared" si="3"/>
        <v>0</v>
      </c>
      <c r="BB42" s="38" t="str">
        <f t="shared" si="4"/>
        <v>0</v>
      </c>
      <c r="BC42" s="38">
        <f t="shared" si="5"/>
        <v>0</v>
      </c>
      <c r="BD42" s="38">
        <f t="shared" si="6"/>
        <v>0</v>
      </c>
      <c r="BL42" s="38" t="str">
        <f t="shared" si="7"/>
        <v/>
      </c>
      <c r="BM42" s="38" t="str">
        <f t="shared" si="8"/>
        <v/>
      </c>
      <c r="BN42" s="38" t="str">
        <f t="shared" si="9"/>
        <v/>
      </c>
      <c r="BO42" s="38" t="str">
        <f t="shared" si="10"/>
        <v/>
      </c>
      <c r="BP42" s="38" t="str">
        <f t="shared" si="11"/>
        <v/>
      </c>
      <c r="BQ42" s="38" t="str">
        <f t="shared" si="12"/>
        <v/>
      </c>
    </row>
    <row r="43" spans="1:69" ht="15.6" x14ac:dyDescent="0.3">
      <c r="A43" s="16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62"/>
      <c r="Z43" s="111"/>
      <c r="AA43" s="112"/>
      <c r="AB43" s="113" t="str">
        <f t="shared" si="16"/>
        <v>-</v>
      </c>
      <c r="AC43" s="112"/>
      <c r="AD43" s="114"/>
      <c r="AE43" s="115"/>
      <c r="AF43" s="115"/>
      <c r="AG43" s="116"/>
      <c r="AH43" s="117"/>
      <c r="AI43" s="117"/>
      <c r="AJ43" s="342"/>
      <c r="AK43" s="343"/>
      <c r="AL43" s="346"/>
      <c r="AM43" s="347"/>
      <c r="AN43" s="118"/>
      <c r="AO43" s="101" t="str">
        <f t="shared" si="19"/>
        <v/>
      </c>
      <c r="AP43" s="113" t="str">
        <f t="shared" si="20"/>
        <v>-</v>
      </c>
      <c r="AQ43" s="119"/>
      <c r="AR43" s="103" t="str">
        <f t="shared" si="21"/>
        <v/>
      </c>
      <c r="AY43" s="38" t="str">
        <f t="shared" si="1"/>
        <v/>
      </c>
      <c r="AZ43" s="38" t="str">
        <f t="shared" si="2"/>
        <v>0</v>
      </c>
      <c r="BA43" s="38" t="str">
        <f t="shared" si="3"/>
        <v>0</v>
      </c>
      <c r="BB43" s="38" t="str">
        <f t="shared" si="4"/>
        <v>0</v>
      </c>
      <c r="BC43" s="38">
        <f t="shared" si="5"/>
        <v>0</v>
      </c>
      <c r="BD43" s="38">
        <f t="shared" si="6"/>
        <v>0</v>
      </c>
      <c r="BL43" s="38" t="str">
        <f t="shared" si="7"/>
        <v/>
      </c>
      <c r="BM43" s="38" t="str">
        <f t="shared" si="8"/>
        <v/>
      </c>
      <c r="BN43" s="38" t="str">
        <f t="shared" si="9"/>
        <v/>
      </c>
      <c r="BO43" s="38" t="str">
        <f t="shared" si="10"/>
        <v/>
      </c>
      <c r="BP43" s="38" t="str">
        <f t="shared" si="11"/>
        <v/>
      </c>
      <c r="BQ43" s="38" t="str">
        <f t="shared" si="12"/>
        <v/>
      </c>
    </row>
    <row r="44" spans="1:69" ht="15.6" x14ac:dyDescent="0.3">
      <c r="A44" s="16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62"/>
      <c r="Z44" s="111"/>
      <c r="AA44" s="112"/>
      <c r="AB44" s="113" t="str">
        <f t="shared" si="16"/>
        <v>-</v>
      </c>
      <c r="AC44" s="112"/>
      <c r="AD44" s="114"/>
      <c r="AE44" s="115"/>
      <c r="AF44" s="115"/>
      <c r="AG44" s="116"/>
      <c r="AH44" s="117"/>
      <c r="AI44" s="117"/>
      <c r="AJ44" s="342"/>
      <c r="AK44" s="343"/>
      <c r="AL44" s="346"/>
      <c r="AM44" s="347"/>
      <c r="AN44" s="118"/>
      <c r="AO44" s="101" t="str">
        <f t="shared" si="19"/>
        <v/>
      </c>
      <c r="AP44" s="113" t="str">
        <f t="shared" si="20"/>
        <v>-</v>
      </c>
      <c r="AQ44" s="119"/>
      <c r="AR44" s="103" t="str">
        <f t="shared" si="21"/>
        <v/>
      </c>
      <c r="AY44" s="38" t="str">
        <f t="shared" si="1"/>
        <v/>
      </c>
      <c r="AZ44" s="38" t="str">
        <f t="shared" si="2"/>
        <v>0</v>
      </c>
      <c r="BA44" s="38" t="str">
        <f t="shared" si="3"/>
        <v>0</v>
      </c>
      <c r="BB44" s="38" t="str">
        <f t="shared" si="4"/>
        <v>0</v>
      </c>
      <c r="BC44" s="38">
        <f t="shared" si="5"/>
        <v>0</v>
      </c>
      <c r="BD44" s="38">
        <f t="shared" si="6"/>
        <v>0</v>
      </c>
      <c r="BL44" s="38" t="str">
        <f t="shared" si="7"/>
        <v/>
      </c>
      <c r="BM44" s="38" t="str">
        <f t="shared" si="8"/>
        <v/>
      </c>
      <c r="BN44" s="38" t="str">
        <f t="shared" si="9"/>
        <v/>
      </c>
      <c r="BO44" s="38" t="str">
        <f t="shared" si="10"/>
        <v/>
      </c>
      <c r="BP44" s="38" t="str">
        <f t="shared" si="11"/>
        <v/>
      </c>
      <c r="BQ44" s="38" t="str">
        <f t="shared" si="12"/>
        <v/>
      </c>
    </row>
    <row r="45" spans="1:69" ht="15.6" x14ac:dyDescent="0.3">
      <c r="A45" s="16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62"/>
      <c r="Z45" s="111"/>
      <c r="AA45" s="112"/>
      <c r="AB45" s="113" t="str">
        <f>+AB44</f>
        <v>-</v>
      </c>
      <c r="AC45" s="112"/>
      <c r="AD45" s="114"/>
      <c r="AE45" s="115"/>
      <c r="AF45" s="115"/>
      <c r="AG45" s="116"/>
      <c r="AH45" s="117"/>
      <c r="AI45" s="117"/>
      <c r="AJ45" s="342"/>
      <c r="AK45" s="343"/>
      <c r="AL45" s="346"/>
      <c r="AM45" s="347"/>
      <c r="AN45" s="118"/>
      <c r="AO45" s="101" t="str">
        <f t="shared" si="19"/>
        <v/>
      </c>
      <c r="AP45" s="113" t="str">
        <f t="shared" si="20"/>
        <v>-</v>
      </c>
      <c r="AQ45" s="119"/>
      <c r="AR45" s="103" t="str">
        <f t="shared" si="21"/>
        <v/>
      </c>
      <c r="AY45" s="38" t="str">
        <f t="shared" si="1"/>
        <v/>
      </c>
      <c r="AZ45" s="38" t="str">
        <f t="shared" si="2"/>
        <v>0</v>
      </c>
      <c r="BA45" s="38" t="str">
        <f t="shared" si="3"/>
        <v>0</v>
      </c>
      <c r="BB45" s="38" t="str">
        <f t="shared" si="4"/>
        <v>0</v>
      </c>
      <c r="BC45" s="38">
        <f t="shared" si="5"/>
        <v>0</v>
      </c>
      <c r="BD45" s="38">
        <f t="shared" si="6"/>
        <v>0</v>
      </c>
      <c r="BL45" s="38" t="str">
        <f t="shared" si="7"/>
        <v/>
      </c>
      <c r="BM45" s="38" t="str">
        <f t="shared" si="8"/>
        <v/>
      </c>
      <c r="BN45" s="38" t="str">
        <f t="shared" si="9"/>
        <v/>
      </c>
      <c r="BO45" s="38" t="str">
        <f t="shared" si="10"/>
        <v/>
      </c>
      <c r="BP45" s="38" t="str">
        <f t="shared" si="11"/>
        <v/>
      </c>
      <c r="BQ45" s="38" t="str">
        <f t="shared" si="12"/>
        <v/>
      </c>
    </row>
    <row r="46" spans="1:69" ht="16.2" thickBot="1" x14ac:dyDescent="0.35">
      <c r="A46" s="163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64"/>
      <c r="Z46" s="165"/>
      <c r="AA46" s="166"/>
      <c r="AB46" s="167" t="str">
        <f>+AB45</f>
        <v>-</v>
      </c>
      <c r="AC46" s="166"/>
      <c r="AD46" s="168"/>
      <c r="AE46" s="169"/>
      <c r="AF46" s="169"/>
      <c r="AG46" s="170"/>
      <c r="AH46" s="171"/>
      <c r="AI46" s="171"/>
      <c r="AJ46" s="344"/>
      <c r="AK46" s="345"/>
      <c r="AL46" s="352"/>
      <c r="AM46" s="353"/>
      <c r="AN46" s="172"/>
      <c r="AO46" s="101" t="str">
        <f t="shared" si="19"/>
        <v/>
      </c>
      <c r="AP46" s="113" t="str">
        <f t="shared" si="20"/>
        <v>-</v>
      </c>
      <c r="AQ46" s="119"/>
      <c r="AR46" s="103" t="str">
        <f t="shared" si="21"/>
        <v/>
      </c>
      <c r="AY46" s="38" t="str">
        <f t="shared" si="1"/>
        <v/>
      </c>
      <c r="AZ46" s="38" t="str">
        <f t="shared" si="2"/>
        <v>0</v>
      </c>
      <c r="BA46" s="38" t="str">
        <f t="shared" si="3"/>
        <v>0</v>
      </c>
      <c r="BB46" s="38" t="str">
        <f t="shared" si="4"/>
        <v>0</v>
      </c>
      <c r="BC46" s="38">
        <f t="shared" si="5"/>
        <v>0</v>
      </c>
      <c r="BD46" s="38">
        <f t="shared" si="6"/>
        <v>0</v>
      </c>
      <c r="BL46" s="38" t="str">
        <f t="shared" si="7"/>
        <v/>
      </c>
      <c r="BM46" s="38" t="str">
        <f t="shared" si="8"/>
        <v/>
      </c>
      <c r="BN46" s="38" t="str">
        <f t="shared" si="9"/>
        <v/>
      </c>
      <c r="BO46" s="38" t="str">
        <f t="shared" si="10"/>
        <v/>
      </c>
      <c r="BP46" s="38" t="str">
        <f t="shared" si="11"/>
        <v/>
      </c>
      <c r="BQ46" s="38" t="str">
        <f t="shared" si="12"/>
        <v/>
      </c>
    </row>
    <row r="47" spans="1:69" ht="18.600000000000001" thickBot="1" x14ac:dyDescent="0.35">
      <c r="A47" s="173" t="s">
        <v>69</v>
      </c>
      <c r="B47" s="174"/>
      <c r="C47" s="174"/>
      <c r="D47" s="174"/>
      <c r="E47" s="174"/>
      <c r="F47" s="174"/>
      <c r="G47" s="174">
        <f>IF(AO52&gt;AR52,AO52,IF(AO52=AR52,AO52,AR52))</f>
        <v>7</v>
      </c>
      <c r="H47" s="175" t="s">
        <v>16</v>
      </c>
      <c r="I47" s="174">
        <f>IF(AO52&gt;AR52,AR52,IF(AO52=AR52,AR52,AO52))</f>
        <v>2</v>
      </c>
      <c r="J47" s="174"/>
      <c r="K47" s="174" t="s">
        <v>70</v>
      </c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6" t="str">
        <f>BE52</f>
        <v>BLAUW</v>
      </c>
      <c r="W47" s="174"/>
      <c r="X47" s="174"/>
      <c r="Y47" s="174"/>
      <c r="Z47" s="174"/>
      <c r="AA47" s="174"/>
      <c r="AB47" s="174"/>
      <c r="AC47" s="174"/>
      <c r="AD47" s="177"/>
      <c r="AE47" s="178" t="s">
        <v>71</v>
      </c>
      <c r="AF47" s="179"/>
      <c r="AG47" s="179"/>
      <c r="AH47" s="179"/>
      <c r="AI47" s="179"/>
      <c r="AJ47" s="174"/>
      <c r="AK47" s="174"/>
      <c r="AL47" s="403" t="s">
        <v>177</v>
      </c>
      <c r="AM47" s="404"/>
      <c r="AN47" s="404"/>
      <c r="AO47" s="404"/>
      <c r="AP47" s="404"/>
      <c r="AQ47" s="404"/>
      <c r="AR47" s="405"/>
    </row>
    <row r="48" spans="1:69" x14ac:dyDescent="0.3">
      <c r="A48" s="180" t="s">
        <v>72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2"/>
      <c r="P48" s="183" t="s">
        <v>72</v>
      </c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2"/>
      <c r="AC48" s="181"/>
      <c r="AD48" s="184"/>
      <c r="AE48" s="185" t="s">
        <v>72</v>
      </c>
      <c r="AF48" s="186"/>
      <c r="AG48" s="186"/>
      <c r="AH48" s="186"/>
      <c r="AI48" s="186"/>
      <c r="AJ48" s="181"/>
      <c r="AK48" s="181"/>
      <c r="AL48" s="181"/>
      <c r="AM48" s="181"/>
      <c r="AN48" s="181"/>
      <c r="AO48" s="186"/>
      <c r="AP48" s="181"/>
      <c r="AQ48" s="181"/>
      <c r="AR48" s="187"/>
    </row>
    <row r="49" spans="1:57" x14ac:dyDescent="0.3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/>
      <c r="P49" s="191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90"/>
      <c r="AC49" s="189"/>
      <c r="AD49" s="192"/>
      <c r="AE49" s="193"/>
      <c r="AF49" s="193"/>
      <c r="AG49" s="193"/>
      <c r="AH49" s="193"/>
      <c r="AI49" s="193"/>
      <c r="AJ49" s="189"/>
      <c r="AK49" s="189"/>
      <c r="AL49" s="189"/>
      <c r="AM49" s="189"/>
      <c r="AN49" s="189"/>
      <c r="AO49" s="193"/>
      <c r="AP49" s="189"/>
      <c r="AQ49" s="189"/>
      <c r="AR49" s="194"/>
    </row>
    <row r="50" spans="1:57" ht="14.4" thickBot="1" x14ac:dyDescent="0.3">
      <c r="A50" s="195" t="s">
        <v>73</v>
      </c>
      <c r="B50" s="196"/>
      <c r="C50" s="196"/>
      <c r="D50" s="196"/>
      <c r="E50" s="196"/>
      <c r="F50" s="196"/>
      <c r="G50" s="196"/>
      <c r="H50" s="197" t="s">
        <v>74</v>
      </c>
      <c r="I50" s="196"/>
      <c r="J50" s="196"/>
      <c r="K50" s="196"/>
      <c r="L50" s="196"/>
      <c r="M50" s="196"/>
      <c r="N50" s="196"/>
      <c r="O50" s="198"/>
      <c r="P50" s="199" t="s">
        <v>73</v>
      </c>
      <c r="Q50" s="196"/>
      <c r="R50" s="196"/>
      <c r="S50" s="196"/>
      <c r="T50" s="196"/>
      <c r="U50" s="196"/>
      <c r="V50" s="196"/>
      <c r="W50" s="197" t="s">
        <v>75</v>
      </c>
      <c r="X50" s="196"/>
      <c r="Y50" s="196"/>
      <c r="Z50" s="196"/>
      <c r="AA50" s="196"/>
      <c r="AB50" s="198"/>
      <c r="AC50" s="196"/>
      <c r="AD50" s="200"/>
      <c r="AE50" s="201" t="s">
        <v>25</v>
      </c>
      <c r="AF50" s="202"/>
      <c r="AG50" s="202"/>
      <c r="AH50" s="202"/>
      <c r="AI50" s="202"/>
      <c r="AJ50" s="203"/>
      <c r="AK50" s="203"/>
      <c r="AL50" s="203"/>
      <c r="AM50" s="203"/>
      <c r="AN50" s="203"/>
      <c r="AO50" s="202"/>
      <c r="AP50" s="203"/>
      <c r="AQ50" s="203"/>
      <c r="AR50" s="204"/>
    </row>
    <row r="52" spans="1:57" hidden="1" x14ac:dyDescent="0.3">
      <c r="AO52" s="40">
        <f>IF(AO13="","",MAX(AO13:AO46))</f>
        <v>2</v>
      </c>
      <c r="AR52" s="40">
        <f>IF(AR13="","",MAX(AR13:AR46))</f>
        <v>7</v>
      </c>
      <c r="AS52" s="38" t="str">
        <f>IF(AO13="","0","1")</f>
        <v>1</v>
      </c>
      <c r="BE52" s="38" t="str">
        <f>IF(AS52="0","WIT/BLAUW",IF(AO52&gt;AR52,"WIT",IF(AO52=AR52,"GELIJK","BLAUW")))</f>
        <v>BLAUW</v>
      </c>
    </row>
  </sheetData>
  <sheetProtection sheet="1" objects="1" scenarios="1"/>
  <mergeCells count="107">
    <mergeCell ref="B14:C14"/>
    <mergeCell ref="B15:C15"/>
    <mergeCell ref="B16:C16"/>
    <mergeCell ref="AJ17:AK17"/>
    <mergeCell ref="G4:I4"/>
    <mergeCell ref="K4:M4"/>
    <mergeCell ref="AH6:AR6"/>
    <mergeCell ref="F10:Y12"/>
    <mergeCell ref="Z10:AD12"/>
    <mergeCell ref="AJ10:AK12"/>
    <mergeCell ref="AL10:AM12"/>
    <mergeCell ref="AN10:AR11"/>
    <mergeCell ref="A11:D12"/>
    <mergeCell ref="AN12:AO12"/>
    <mergeCell ref="AQ12:AR12"/>
    <mergeCell ref="B30:C30"/>
    <mergeCell ref="B18:C18"/>
    <mergeCell ref="B19:C19"/>
    <mergeCell ref="B20:C20"/>
    <mergeCell ref="B21:C21"/>
    <mergeCell ref="B22:C22"/>
    <mergeCell ref="B23:C23"/>
    <mergeCell ref="AJ18:AK18"/>
    <mergeCell ref="AJ19:AK19"/>
    <mergeCell ref="AJ20:AK20"/>
    <mergeCell ref="AJ21:AK21"/>
    <mergeCell ref="AJ29:AK29"/>
    <mergeCell ref="AJ30:AK30"/>
    <mergeCell ref="B37:C37"/>
    <mergeCell ref="B38:C38"/>
    <mergeCell ref="B39:C39"/>
    <mergeCell ref="I40:J40"/>
    <mergeCell ref="B31:C31"/>
    <mergeCell ref="B32:C32"/>
    <mergeCell ref="B33:C33"/>
    <mergeCell ref="B34:C34"/>
    <mergeCell ref="B35:C35"/>
    <mergeCell ref="B36:C36"/>
    <mergeCell ref="AL26:AM26"/>
    <mergeCell ref="AL17:AM17"/>
    <mergeCell ref="AL18:AM18"/>
    <mergeCell ref="AL19:AM19"/>
    <mergeCell ref="AL20:AM20"/>
    <mergeCell ref="AL21:AM21"/>
    <mergeCell ref="D3:N3"/>
    <mergeCell ref="AL13:AM13"/>
    <mergeCell ref="AL14:AM14"/>
    <mergeCell ref="AL15:AM15"/>
    <mergeCell ref="AL16:AM16"/>
    <mergeCell ref="AJ13:AK13"/>
    <mergeCell ref="AJ14:AK14"/>
    <mergeCell ref="AJ15:AK15"/>
    <mergeCell ref="AJ16:AK16"/>
    <mergeCell ref="I24:J24"/>
    <mergeCell ref="F25:Y28"/>
    <mergeCell ref="A26:D28"/>
    <mergeCell ref="AL27:AM27"/>
    <mergeCell ref="AL28:AM28"/>
    <mergeCell ref="AJ27:AK27"/>
    <mergeCell ref="AJ28:AK28"/>
    <mergeCell ref="B17:C17"/>
    <mergeCell ref="D4:E4"/>
    <mergeCell ref="BF4:BI6"/>
    <mergeCell ref="AL47:AR47"/>
    <mergeCell ref="AL44:AM44"/>
    <mergeCell ref="AL45:AM45"/>
    <mergeCell ref="AL46:AM46"/>
    <mergeCell ref="AL39:AM39"/>
    <mergeCell ref="AL40:AM40"/>
    <mergeCell ref="AL41:AM41"/>
    <mergeCell ref="AL42:AM42"/>
    <mergeCell ref="AL43:AM43"/>
    <mergeCell ref="AL34:AM34"/>
    <mergeCell ref="AL35:AM35"/>
    <mergeCell ref="AL36:AM36"/>
    <mergeCell ref="AL37:AM37"/>
    <mergeCell ref="AL38:AM38"/>
    <mergeCell ref="AL29:AM29"/>
    <mergeCell ref="AL30:AM30"/>
    <mergeCell ref="AL31:AM31"/>
    <mergeCell ref="AL32:AM32"/>
    <mergeCell ref="AL33:AM33"/>
    <mergeCell ref="AL22:AM22"/>
    <mergeCell ref="AL23:AM23"/>
    <mergeCell ref="AL24:AM24"/>
    <mergeCell ref="AL25:AM25"/>
    <mergeCell ref="AJ31:AK31"/>
    <mergeCell ref="AJ32:AK32"/>
    <mergeCell ref="AJ33:AK33"/>
    <mergeCell ref="AJ22:AK22"/>
    <mergeCell ref="AJ23:AK23"/>
    <mergeCell ref="AJ24:AK24"/>
    <mergeCell ref="AJ25:AK25"/>
    <mergeCell ref="AJ26:AK26"/>
    <mergeCell ref="AJ44:AK44"/>
    <mergeCell ref="AJ45:AK45"/>
    <mergeCell ref="AJ46:AK46"/>
    <mergeCell ref="AJ39:AK39"/>
    <mergeCell ref="AJ40:AK40"/>
    <mergeCell ref="AJ41:AK41"/>
    <mergeCell ref="AJ42:AK42"/>
    <mergeCell ref="AJ43:AK43"/>
    <mergeCell ref="AJ34:AK34"/>
    <mergeCell ref="AJ35:AK35"/>
    <mergeCell ref="AJ36:AK36"/>
    <mergeCell ref="AJ37:AK37"/>
    <mergeCell ref="AJ38:AK38"/>
  </mergeCells>
  <dataValidations count="1">
    <dataValidation type="list" allowBlank="1" showInputMessage="1" showErrorMessage="1" sqref="AL47:AR47" xr:uid="{AE97EB04-F1F9-45DC-9EE9-EFD72AD31FE7}">
      <formula1>"JA/NEE,JA,NEE"</formula1>
    </dataValidation>
  </dataValidations>
  <hyperlinks>
    <hyperlink ref="BF4:BI6" location="Wedstrijden!A1" display="Wedstrijdschema" xr:uid="{1F76E3BB-DAC2-4AD5-87CF-C64E6ADA066C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BD245-C275-4FB8-A2F6-7C79FCB5E0FF}">
  <dimension ref="A1:IV52"/>
  <sheetViews>
    <sheetView workbookViewId="0">
      <selection activeCell="BF4" sqref="BF4:BI6"/>
    </sheetView>
  </sheetViews>
  <sheetFormatPr defaultRowHeight="13.8" x14ac:dyDescent="0.3"/>
  <cols>
    <col min="1" max="6" width="2.33203125" style="38" customWidth="1"/>
    <col min="7" max="7" width="3.33203125" style="38" customWidth="1"/>
    <col min="8" max="8" width="2.33203125" style="38" customWidth="1"/>
    <col min="9" max="9" width="3.33203125" style="38" customWidth="1"/>
    <col min="10" max="25" width="2.33203125" style="38" customWidth="1"/>
    <col min="26" max="28" width="2.109375" style="38" customWidth="1"/>
    <col min="29" max="29" width="3" style="38" customWidth="1"/>
    <col min="30" max="30" width="2.109375" style="39" customWidth="1"/>
    <col min="31" max="35" width="2.33203125" style="40" customWidth="1"/>
    <col min="36" max="39" width="2.33203125" style="38" customWidth="1"/>
    <col min="40" max="40" width="2.109375" style="38" customWidth="1"/>
    <col min="41" max="41" width="3.33203125" style="40" customWidth="1"/>
    <col min="42" max="43" width="2.109375" style="38" customWidth="1"/>
    <col min="44" max="44" width="3.33203125" style="40" customWidth="1"/>
    <col min="45" max="45" width="8.88671875" style="38"/>
    <col min="46" max="56" width="9.109375" style="38" hidden="1" customWidth="1"/>
    <col min="57" max="62" width="8.88671875" style="38"/>
    <col min="63" max="69" width="0" style="38" hidden="1" customWidth="1"/>
    <col min="70" max="256" width="8.88671875" style="38"/>
    <col min="257" max="281" width="2.33203125" style="38" customWidth="1"/>
    <col min="282" max="286" width="2.109375" style="38" customWidth="1"/>
    <col min="287" max="295" width="2.33203125" style="38" customWidth="1"/>
    <col min="296" max="300" width="2.109375" style="38" customWidth="1"/>
    <col min="301" max="512" width="8.88671875" style="38"/>
    <col min="513" max="537" width="2.33203125" style="38" customWidth="1"/>
    <col min="538" max="542" width="2.109375" style="38" customWidth="1"/>
    <col min="543" max="551" width="2.33203125" style="38" customWidth="1"/>
    <col min="552" max="556" width="2.109375" style="38" customWidth="1"/>
    <col min="557" max="768" width="8.88671875" style="38"/>
    <col min="769" max="793" width="2.33203125" style="38" customWidth="1"/>
    <col min="794" max="798" width="2.109375" style="38" customWidth="1"/>
    <col min="799" max="807" width="2.33203125" style="38" customWidth="1"/>
    <col min="808" max="812" width="2.109375" style="38" customWidth="1"/>
    <col min="813" max="1024" width="8.88671875" style="38"/>
    <col min="1025" max="1049" width="2.33203125" style="38" customWidth="1"/>
    <col min="1050" max="1054" width="2.109375" style="38" customWidth="1"/>
    <col min="1055" max="1063" width="2.33203125" style="38" customWidth="1"/>
    <col min="1064" max="1068" width="2.109375" style="38" customWidth="1"/>
    <col min="1069" max="1280" width="8.88671875" style="38"/>
    <col min="1281" max="1305" width="2.33203125" style="38" customWidth="1"/>
    <col min="1306" max="1310" width="2.109375" style="38" customWidth="1"/>
    <col min="1311" max="1319" width="2.33203125" style="38" customWidth="1"/>
    <col min="1320" max="1324" width="2.109375" style="38" customWidth="1"/>
    <col min="1325" max="1536" width="8.88671875" style="38"/>
    <col min="1537" max="1561" width="2.33203125" style="38" customWidth="1"/>
    <col min="1562" max="1566" width="2.109375" style="38" customWidth="1"/>
    <col min="1567" max="1575" width="2.33203125" style="38" customWidth="1"/>
    <col min="1576" max="1580" width="2.109375" style="38" customWidth="1"/>
    <col min="1581" max="1792" width="8.88671875" style="38"/>
    <col min="1793" max="1817" width="2.33203125" style="38" customWidth="1"/>
    <col min="1818" max="1822" width="2.109375" style="38" customWidth="1"/>
    <col min="1823" max="1831" width="2.33203125" style="38" customWidth="1"/>
    <col min="1832" max="1836" width="2.109375" style="38" customWidth="1"/>
    <col min="1837" max="2048" width="8.88671875" style="38"/>
    <col min="2049" max="2073" width="2.33203125" style="38" customWidth="1"/>
    <col min="2074" max="2078" width="2.109375" style="38" customWidth="1"/>
    <col min="2079" max="2087" width="2.33203125" style="38" customWidth="1"/>
    <col min="2088" max="2092" width="2.109375" style="38" customWidth="1"/>
    <col min="2093" max="2304" width="8.88671875" style="38"/>
    <col min="2305" max="2329" width="2.33203125" style="38" customWidth="1"/>
    <col min="2330" max="2334" width="2.109375" style="38" customWidth="1"/>
    <col min="2335" max="2343" width="2.33203125" style="38" customWidth="1"/>
    <col min="2344" max="2348" width="2.109375" style="38" customWidth="1"/>
    <col min="2349" max="2560" width="8.88671875" style="38"/>
    <col min="2561" max="2585" width="2.33203125" style="38" customWidth="1"/>
    <col min="2586" max="2590" width="2.109375" style="38" customWidth="1"/>
    <col min="2591" max="2599" width="2.33203125" style="38" customWidth="1"/>
    <col min="2600" max="2604" width="2.109375" style="38" customWidth="1"/>
    <col min="2605" max="2816" width="8.88671875" style="38"/>
    <col min="2817" max="2841" width="2.33203125" style="38" customWidth="1"/>
    <col min="2842" max="2846" width="2.109375" style="38" customWidth="1"/>
    <col min="2847" max="2855" width="2.33203125" style="38" customWidth="1"/>
    <col min="2856" max="2860" width="2.109375" style="38" customWidth="1"/>
    <col min="2861" max="3072" width="8.88671875" style="38"/>
    <col min="3073" max="3097" width="2.33203125" style="38" customWidth="1"/>
    <col min="3098" max="3102" width="2.109375" style="38" customWidth="1"/>
    <col min="3103" max="3111" width="2.33203125" style="38" customWidth="1"/>
    <col min="3112" max="3116" width="2.109375" style="38" customWidth="1"/>
    <col min="3117" max="3328" width="8.88671875" style="38"/>
    <col min="3329" max="3353" width="2.33203125" style="38" customWidth="1"/>
    <col min="3354" max="3358" width="2.109375" style="38" customWidth="1"/>
    <col min="3359" max="3367" width="2.33203125" style="38" customWidth="1"/>
    <col min="3368" max="3372" width="2.109375" style="38" customWidth="1"/>
    <col min="3373" max="3584" width="8.88671875" style="38"/>
    <col min="3585" max="3609" width="2.33203125" style="38" customWidth="1"/>
    <col min="3610" max="3614" width="2.109375" style="38" customWidth="1"/>
    <col min="3615" max="3623" width="2.33203125" style="38" customWidth="1"/>
    <col min="3624" max="3628" width="2.109375" style="38" customWidth="1"/>
    <col min="3629" max="3840" width="8.88671875" style="38"/>
    <col min="3841" max="3865" width="2.33203125" style="38" customWidth="1"/>
    <col min="3866" max="3870" width="2.109375" style="38" customWidth="1"/>
    <col min="3871" max="3879" width="2.33203125" style="38" customWidth="1"/>
    <col min="3880" max="3884" width="2.109375" style="38" customWidth="1"/>
    <col min="3885" max="4096" width="8.88671875" style="38"/>
    <col min="4097" max="4121" width="2.33203125" style="38" customWidth="1"/>
    <col min="4122" max="4126" width="2.109375" style="38" customWidth="1"/>
    <col min="4127" max="4135" width="2.33203125" style="38" customWidth="1"/>
    <col min="4136" max="4140" width="2.109375" style="38" customWidth="1"/>
    <col min="4141" max="4352" width="8.88671875" style="38"/>
    <col min="4353" max="4377" width="2.33203125" style="38" customWidth="1"/>
    <col min="4378" max="4382" width="2.109375" style="38" customWidth="1"/>
    <col min="4383" max="4391" width="2.33203125" style="38" customWidth="1"/>
    <col min="4392" max="4396" width="2.109375" style="38" customWidth="1"/>
    <col min="4397" max="4608" width="8.88671875" style="38"/>
    <col min="4609" max="4633" width="2.33203125" style="38" customWidth="1"/>
    <col min="4634" max="4638" width="2.109375" style="38" customWidth="1"/>
    <col min="4639" max="4647" width="2.33203125" style="38" customWidth="1"/>
    <col min="4648" max="4652" width="2.109375" style="38" customWidth="1"/>
    <col min="4653" max="4864" width="8.88671875" style="38"/>
    <col min="4865" max="4889" width="2.33203125" style="38" customWidth="1"/>
    <col min="4890" max="4894" width="2.109375" style="38" customWidth="1"/>
    <col min="4895" max="4903" width="2.33203125" style="38" customWidth="1"/>
    <col min="4904" max="4908" width="2.109375" style="38" customWidth="1"/>
    <col min="4909" max="5120" width="8.88671875" style="38"/>
    <col min="5121" max="5145" width="2.33203125" style="38" customWidth="1"/>
    <col min="5146" max="5150" width="2.109375" style="38" customWidth="1"/>
    <col min="5151" max="5159" width="2.33203125" style="38" customWidth="1"/>
    <col min="5160" max="5164" width="2.109375" style="38" customWidth="1"/>
    <col min="5165" max="5376" width="8.88671875" style="38"/>
    <col min="5377" max="5401" width="2.33203125" style="38" customWidth="1"/>
    <col min="5402" max="5406" width="2.109375" style="38" customWidth="1"/>
    <col min="5407" max="5415" width="2.33203125" style="38" customWidth="1"/>
    <col min="5416" max="5420" width="2.109375" style="38" customWidth="1"/>
    <col min="5421" max="5632" width="8.88671875" style="38"/>
    <col min="5633" max="5657" width="2.33203125" style="38" customWidth="1"/>
    <col min="5658" max="5662" width="2.109375" style="38" customWidth="1"/>
    <col min="5663" max="5671" width="2.33203125" style="38" customWidth="1"/>
    <col min="5672" max="5676" width="2.109375" style="38" customWidth="1"/>
    <col min="5677" max="5888" width="8.88671875" style="38"/>
    <col min="5889" max="5913" width="2.33203125" style="38" customWidth="1"/>
    <col min="5914" max="5918" width="2.109375" style="38" customWidth="1"/>
    <col min="5919" max="5927" width="2.33203125" style="38" customWidth="1"/>
    <col min="5928" max="5932" width="2.109375" style="38" customWidth="1"/>
    <col min="5933" max="6144" width="8.88671875" style="38"/>
    <col min="6145" max="6169" width="2.33203125" style="38" customWidth="1"/>
    <col min="6170" max="6174" width="2.109375" style="38" customWidth="1"/>
    <col min="6175" max="6183" width="2.33203125" style="38" customWidth="1"/>
    <col min="6184" max="6188" width="2.109375" style="38" customWidth="1"/>
    <col min="6189" max="6400" width="8.88671875" style="38"/>
    <col min="6401" max="6425" width="2.33203125" style="38" customWidth="1"/>
    <col min="6426" max="6430" width="2.109375" style="38" customWidth="1"/>
    <col min="6431" max="6439" width="2.33203125" style="38" customWidth="1"/>
    <col min="6440" max="6444" width="2.109375" style="38" customWidth="1"/>
    <col min="6445" max="6656" width="8.88671875" style="38"/>
    <col min="6657" max="6681" width="2.33203125" style="38" customWidth="1"/>
    <col min="6682" max="6686" width="2.109375" style="38" customWidth="1"/>
    <col min="6687" max="6695" width="2.33203125" style="38" customWidth="1"/>
    <col min="6696" max="6700" width="2.109375" style="38" customWidth="1"/>
    <col min="6701" max="6912" width="8.88671875" style="38"/>
    <col min="6913" max="6937" width="2.33203125" style="38" customWidth="1"/>
    <col min="6938" max="6942" width="2.109375" style="38" customWidth="1"/>
    <col min="6943" max="6951" width="2.33203125" style="38" customWidth="1"/>
    <col min="6952" max="6956" width="2.109375" style="38" customWidth="1"/>
    <col min="6957" max="7168" width="8.88671875" style="38"/>
    <col min="7169" max="7193" width="2.33203125" style="38" customWidth="1"/>
    <col min="7194" max="7198" width="2.109375" style="38" customWidth="1"/>
    <col min="7199" max="7207" width="2.33203125" style="38" customWidth="1"/>
    <col min="7208" max="7212" width="2.109375" style="38" customWidth="1"/>
    <col min="7213" max="7424" width="8.88671875" style="38"/>
    <col min="7425" max="7449" width="2.33203125" style="38" customWidth="1"/>
    <col min="7450" max="7454" width="2.109375" style="38" customWidth="1"/>
    <col min="7455" max="7463" width="2.33203125" style="38" customWidth="1"/>
    <col min="7464" max="7468" width="2.109375" style="38" customWidth="1"/>
    <col min="7469" max="7680" width="8.88671875" style="38"/>
    <col min="7681" max="7705" width="2.33203125" style="38" customWidth="1"/>
    <col min="7706" max="7710" width="2.109375" style="38" customWidth="1"/>
    <col min="7711" max="7719" width="2.33203125" style="38" customWidth="1"/>
    <col min="7720" max="7724" width="2.109375" style="38" customWidth="1"/>
    <col min="7725" max="7936" width="8.88671875" style="38"/>
    <col min="7937" max="7961" width="2.33203125" style="38" customWidth="1"/>
    <col min="7962" max="7966" width="2.109375" style="38" customWidth="1"/>
    <col min="7967" max="7975" width="2.33203125" style="38" customWidth="1"/>
    <col min="7976" max="7980" width="2.109375" style="38" customWidth="1"/>
    <col min="7981" max="8192" width="8.88671875" style="38"/>
    <col min="8193" max="8217" width="2.33203125" style="38" customWidth="1"/>
    <col min="8218" max="8222" width="2.109375" style="38" customWidth="1"/>
    <col min="8223" max="8231" width="2.33203125" style="38" customWidth="1"/>
    <col min="8232" max="8236" width="2.109375" style="38" customWidth="1"/>
    <col min="8237" max="8448" width="8.88671875" style="38"/>
    <col min="8449" max="8473" width="2.33203125" style="38" customWidth="1"/>
    <col min="8474" max="8478" width="2.109375" style="38" customWidth="1"/>
    <col min="8479" max="8487" width="2.33203125" style="38" customWidth="1"/>
    <col min="8488" max="8492" width="2.109375" style="38" customWidth="1"/>
    <col min="8493" max="8704" width="8.88671875" style="38"/>
    <col min="8705" max="8729" width="2.33203125" style="38" customWidth="1"/>
    <col min="8730" max="8734" width="2.109375" style="38" customWidth="1"/>
    <col min="8735" max="8743" width="2.33203125" style="38" customWidth="1"/>
    <col min="8744" max="8748" width="2.109375" style="38" customWidth="1"/>
    <col min="8749" max="8960" width="8.88671875" style="38"/>
    <col min="8961" max="8985" width="2.33203125" style="38" customWidth="1"/>
    <col min="8986" max="8990" width="2.109375" style="38" customWidth="1"/>
    <col min="8991" max="8999" width="2.33203125" style="38" customWidth="1"/>
    <col min="9000" max="9004" width="2.109375" style="38" customWidth="1"/>
    <col min="9005" max="9216" width="8.88671875" style="38"/>
    <col min="9217" max="9241" width="2.33203125" style="38" customWidth="1"/>
    <col min="9242" max="9246" width="2.109375" style="38" customWidth="1"/>
    <col min="9247" max="9255" width="2.33203125" style="38" customWidth="1"/>
    <col min="9256" max="9260" width="2.109375" style="38" customWidth="1"/>
    <col min="9261" max="9472" width="8.88671875" style="38"/>
    <col min="9473" max="9497" width="2.33203125" style="38" customWidth="1"/>
    <col min="9498" max="9502" width="2.109375" style="38" customWidth="1"/>
    <col min="9503" max="9511" width="2.33203125" style="38" customWidth="1"/>
    <col min="9512" max="9516" width="2.109375" style="38" customWidth="1"/>
    <col min="9517" max="9728" width="8.88671875" style="38"/>
    <col min="9729" max="9753" width="2.33203125" style="38" customWidth="1"/>
    <col min="9754" max="9758" width="2.109375" style="38" customWidth="1"/>
    <col min="9759" max="9767" width="2.33203125" style="38" customWidth="1"/>
    <col min="9768" max="9772" width="2.109375" style="38" customWidth="1"/>
    <col min="9773" max="9984" width="8.88671875" style="38"/>
    <col min="9985" max="10009" width="2.33203125" style="38" customWidth="1"/>
    <col min="10010" max="10014" width="2.109375" style="38" customWidth="1"/>
    <col min="10015" max="10023" width="2.33203125" style="38" customWidth="1"/>
    <col min="10024" max="10028" width="2.109375" style="38" customWidth="1"/>
    <col min="10029" max="10240" width="8.88671875" style="38"/>
    <col min="10241" max="10265" width="2.33203125" style="38" customWidth="1"/>
    <col min="10266" max="10270" width="2.109375" style="38" customWidth="1"/>
    <col min="10271" max="10279" width="2.33203125" style="38" customWidth="1"/>
    <col min="10280" max="10284" width="2.109375" style="38" customWidth="1"/>
    <col min="10285" max="10496" width="8.88671875" style="38"/>
    <col min="10497" max="10521" width="2.33203125" style="38" customWidth="1"/>
    <col min="10522" max="10526" width="2.109375" style="38" customWidth="1"/>
    <col min="10527" max="10535" width="2.33203125" style="38" customWidth="1"/>
    <col min="10536" max="10540" width="2.109375" style="38" customWidth="1"/>
    <col min="10541" max="10752" width="8.88671875" style="38"/>
    <col min="10753" max="10777" width="2.33203125" style="38" customWidth="1"/>
    <col min="10778" max="10782" width="2.109375" style="38" customWidth="1"/>
    <col min="10783" max="10791" width="2.33203125" style="38" customWidth="1"/>
    <col min="10792" max="10796" width="2.109375" style="38" customWidth="1"/>
    <col min="10797" max="11008" width="8.88671875" style="38"/>
    <col min="11009" max="11033" width="2.33203125" style="38" customWidth="1"/>
    <col min="11034" max="11038" width="2.109375" style="38" customWidth="1"/>
    <col min="11039" max="11047" width="2.33203125" style="38" customWidth="1"/>
    <col min="11048" max="11052" width="2.109375" style="38" customWidth="1"/>
    <col min="11053" max="11264" width="8.88671875" style="38"/>
    <col min="11265" max="11289" width="2.33203125" style="38" customWidth="1"/>
    <col min="11290" max="11294" width="2.109375" style="38" customWidth="1"/>
    <col min="11295" max="11303" width="2.33203125" style="38" customWidth="1"/>
    <col min="11304" max="11308" width="2.109375" style="38" customWidth="1"/>
    <col min="11309" max="11520" width="8.88671875" style="38"/>
    <col min="11521" max="11545" width="2.33203125" style="38" customWidth="1"/>
    <col min="11546" max="11550" width="2.109375" style="38" customWidth="1"/>
    <col min="11551" max="11559" width="2.33203125" style="38" customWidth="1"/>
    <col min="11560" max="11564" width="2.109375" style="38" customWidth="1"/>
    <col min="11565" max="11776" width="8.88671875" style="38"/>
    <col min="11777" max="11801" width="2.33203125" style="38" customWidth="1"/>
    <col min="11802" max="11806" width="2.109375" style="38" customWidth="1"/>
    <col min="11807" max="11815" width="2.33203125" style="38" customWidth="1"/>
    <col min="11816" max="11820" width="2.109375" style="38" customWidth="1"/>
    <col min="11821" max="12032" width="8.88671875" style="38"/>
    <col min="12033" max="12057" width="2.33203125" style="38" customWidth="1"/>
    <col min="12058" max="12062" width="2.109375" style="38" customWidth="1"/>
    <col min="12063" max="12071" width="2.33203125" style="38" customWidth="1"/>
    <col min="12072" max="12076" width="2.109375" style="38" customWidth="1"/>
    <col min="12077" max="12288" width="8.88671875" style="38"/>
    <col min="12289" max="12313" width="2.33203125" style="38" customWidth="1"/>
    <col min="12314" max="12318" width="2.109375" style="38" customWidth="1"/>
    <col min="12319" max="12327" width="2.33203125" style="38" customWidth="1"/>
    <col min="12328" max="12332" width="2.109375" style="38" customWidth="1"/>
    <col min="12333" max="12544" width="8.88671875" style="38"/>
    <col min="12545" max="12569" width="2.33203125" style="38" customWidth="1"/>
    <col min="12570" max="12574" width="2.109375" style="38" customWidth="1"/>
    <col min="12575" max="12583" width="2.33203125" style="38" customWidth="1"/>
    <col min="12584" max="12588" width="2.109375" style="38" customWidth="1"/>
    <col min="12589" max="12800" width="8.88671875" style="38"/>
    <col min="12801" max="12825" width="2.33203125" style="38" customWidth="1"/>
    <col min="12826" max="12830" width="2.109375" style="38" customWidth="1"/>
    <col min="12831" max="12839" width="2.33203125" style="38" customWidth="1"/>
    <col min="12840" max="12844" width="2.109375" style="38" customWidth="1"/>
    <col min="12845" max="13056" width="8.88671875" style="38"/>
    <col min="13057" max="13081" width="2.33203125" style="38" customWidth="1"/>
    <col min="13082" max="13086" width="2.109375" style="38" customWidth="1"/>
    <col min="13087" max="13095" width="2.33203125" style="38" customWidth="1"/>
    <col min="13096" max="13100" width="2.109375" style="38" customWidth="1"/>
    <col min="13101" max="13312" width="8.88671875" style="38"/>
    <col min="13313" max="13337" width="2.33203125" style="38" customWidth="1"/>
    <col min="13338" max="13342" width="2.109375" style="38" customWidth="1"/>
    <col min="13343" max="13351" width="2.33203125" style="38" customWidth="1"/>
    <col min="13352" max="13356" width="2.109375" style="38" customWidth="1"/>
    <col min="13357" max="13568" width="8.88671875" style="38"/>
    <col min="13569" max="13593" width="2.33203125" style="38" customWidth="1"/>
    <col min="13594" max="13598" width="2.109375" style="38" customWidth="1"/>
    <col min="13599" max="13607" width="2.33203125" style="38" customWidth="1"/>
    <col min="13608" max="13612" width="2.109375" style="38" customWidth="1"/>
    <col min="13613" max="13824" width="8.88671875" style="38"/>
    <col min="13825" max="13849" width="2.33203125" style="38" customWidth="1"/>
    <col min="13850" max="13854" width="2.109375" style="38" customWidth="1"/>
    <col min="13855" max="13863" width="2.33203125" style="38" customWidth="1"/>
    <col min="13864" max="13868" width="2.109375" style="38" customWidth="1"/>
    <col min="13869" max="14080" width="8.88671875" style="38"/>
    <col min="14081" max="14105" width="2.33203125" style="38" customWidth="1"/>
    <col min="14106" max="14110" width="2.109375" style="38" customWidth="1"/>
    <col min="14111" max="14119" width="2.33203125" style="38" customWidth="1"/>
    <col min="14120" max="14124" width="2.109375" style="38" customWidth="1"/>
    <col min="14125" max="14336" width="8.88671875" style="38"/>
    <col min="14337" max="14361" width="2.33203125" style="38" customWidth="1"/>
    <col min="14362" max="14366" width="2.109375" style="38" customWidth="1"/>
    <col min="14367" max="14375" width="2.33203125" style="38" customWidth="1"/>
    <col min="14376" max="14380" width="2.109375" style="38" customWidth="1"/>
    <col min="14381" max="14592" width="8.88671875" style="38"/>
    <col min="14593" max="14617" width="2.33203125" style="38" customWidth="1"/>
    <col min="14618" max="14622" width="2.109375" style="38" customWidth="1"/>
    <col min="14623" max="14631" width="2.33203125" style="38" customWidth="1"/>
    <col min="14632" max="14636" width="2.109375" style="38" customWidth="1"/>
    <col min="14637" max="14848" width="8.88671875" style="38"/>
    <col min="14849" max="14873" width="2.33203125" style="38" customWidth="1"/>
    <col min="14874" max="14878" width="2.109375" style="38" customWidth="1"/>
    <col min="14879" max="14887" width="2.33203125" style="38" customWidth="1"/>
    <col min="14888" max="14892" width="2.109375" style="38" customWidth="1"/>
    <col min="14893" max="15104" width="8.88671875" style="38"/>
    <col min="15105" max="15129" width="2.33203125" style="38" customWidth="1"/>
    <col min="15130" max="15134" width="2.109375" style="38" customWidth="1"/>
    <col min="15135" max="15143" width="2.33203125" style="38" customWidth="1"/>
    <col min="15144" max="15148" width="2.109375" style="38" customWidth="1"/>
    <col min="15149" max="15360" width="8.88671875" style="38"/>
    <col min="15361" max="15385" width="2.33203125" style="38" customWidth="1"/>
    <col min="15386" max="15390" width="2.109375" style="38" customWidth="1"/>
    <col min="15391" max="15399" width="2.33203125" style="38" customWidth="1"/>
    <col min="15400" max="15404" width="2.109375" style="38" customWidth="1"/>
    <col min="15405" max="15616" width="8.88671875" style="38"/>
    <col min="15617" max="15641" width="2.33203125" style="38" customWidth="1"/>
    <col min="15642" max="15646" width="2.109375" style="38" customWidth="1"/>
    <col min="15647" max="15655" width="2.33203125" style="38" customWidth="1"/>
    <col min="15656" max="15660" width="2.109375" style="38" customWidth="1"/>
    <col min="15661" max="15872" width="8.88671875" style="38"/>
    <col min="15873" max="15897" width="2.33203125" style="38" customWidth="1"/>
    <col min="15898" max="15902" width="2.109375" style="38" customWidth="1"/>
    <col min="15903" max="15911" width="2.33203125" style="38" customWidth="1"/>
    <col min="15912" max="15916" width="2.109375" style="38" customWidth="1"/>
    <col min="15917" max="16128" width="8.88671875" style="38"/>
    <col min="16129" max="16153" width="2.33203125" style="38" customWidth="1"/>
    <col min="16154" max="16158" width="2.109375" style="38" customWidth="1"/>
    <col min="16159" max="16167" width="2.33203125" style="38" customWidth="1"/>
    <col min="16168" max="16172" width="2.109375" style="38" customWidth="1"/>
    <col min="16173" max="16384" width="8.88671875" style="38"/>
  </cols>
  <sheetData>
    <row r="1" spans="1:256" ht="20.399999999999999" x14ac:dyDescent="0.3">
      <c r="A1" s="37" t="s">
        <v>40</v>
      </c>
      <c r="AO1" s="41">
        <v>0</v>
      </c>
      <c r="AP1" s="42"/>
      <c r="AQ1" s="42"/>
      <c r="AR1" s="41">
        <v>0</v>
      </c>
      <c r="AV1" s="43">
        <v>1.3888888888888888E-2</v>
      </c>
    </row>
    <row r="2" spans="1:256" x14ac:dyDescent="0.3">
      <c r="A2" s="38" t="s">
        <v>42</v>
      </c>
      <c r="E2" s="38" t="s">
        <v>76</v>
      </c>
      <c r="P2" s="44" t="s">
        <v>22</v>
      </c>
      <c r="Q2" s="45"/>
      <c r="R2" s="45"/>
      <c r="S2" s="45"/>
      <c r="T2" s="45"/>
      <c r="U2" s="45"/>
      <c r="V2" s="45"/>
      <c r="W2" s="45" t="s">
        <v>3</v>
      </c>
      <c r="X2" s="45"/>
      <c r="Y2" s="46" t="s">
        <v>41</v>
      </c>
      <c r="Z2" s="45"/>
      <c r="AA2" s="45"/>
      <c r="AB2" s="45"/>
      <c r="AC2" s="45"/>
      <c r="AD2" s="47"/>
      <c r="AE2" s="48"/>
      <c r="AF2" s="48"/>
      <c r="AG2" s="49"/>
    </row>
    <row r="3" spans="1:256" ht="15" thickBot="1" x14ac:dyDescent="0.35">
      <c r="A3" s="38" t="s">
        <v>19</v>
      </c>
      <c r="D3" s="415">
        <f>Wedstrijden!I2</f>
        <v>45732</v>
      </c>
      <c r="E3" s="416"/>
      <c r="F3" s="416"/>
      <c r="G3" s="416"/>
      <c r="H3" s="416"/>
      <c r="I3" s="416"/>
      <c r="J3" s="416"/>
      <c r="K3" s="416"/>
      <c r="L3" s="416"/>
      <c r="M3" s="416"/>
      <c r="N3" s="417"/>
      <c r="P3" s="50" t="s">
        <v>18</v>
      </c>
      <c r="Q3" s="51" t="s">
        <v>43</v>
      </c>
      <c r="W3" s="38" t="s">
        <v>0</v>
      </c>
      <c r="Y3" s="51" t="s">
        <v>44</v>
      </c>
      <c r="AG3" s="52"/>
    </row>
    <row r="4" spans="1:256" x14ac:dyDescent="0.3">
      <c r="A4" s="38" t="s">
        <v>20</v>
      </c>
      <c r="D4" s="418">
        <v>16</v>
      </c>
      <c r="E4" s="418"/>
      <c r="F4" s="53"/>
      <c r="G4" s="419">
        <f>VLOOKUP(D4,Wedstrijden!A6:B57,2,0)</f>
        <v>0.67361111111111116</v>
      </c>
      <c r="H4" s="419"/>
      <c r="I4" s="419"/>
      <c r="J4" s="54" t="s">
        <v>16</v>
      </c>
      <c r="K4" s="419">
        <f>G4+AV1</f>
        <v>0.6875</v>
      </c>
      <c r="L4" s="419"/>
      <c r="M4" s="419"/>
      <c r="N4" s="53"/>
      <c r="P4" s="50" t="s">
        <v>17</v>
      </c>
      <c r="Q4" s="51" t="s">
        <v>45</v>
      </c>
      <c r="W4" s="38" t="s">
        <v>9</v>
      </c>
      <c r="Y4" s="51" t="s">
        <v>46</v>
      </c>
      <c r="AG4" s="52"/>
      <c r="BF4" s="406" t="s">
        <v>102</v>
      </c>
      <c r="BG4" s="407"/>
      <c r="BH4" s="407"/>
      <c r="BI4" s="408"/>
    </row>
    <row r="5" spans="1:256" x14ac:dyDescent="0.3">
      <c r="A5" s="38" t="s">
        <v>164</v>
      </c>
      <c r="D5" s="260" t="str">
        <f>VLOOKUP(D4,Wedstrijden!A6:D21,4,0)</f>
        <v>A</v>
      </c>
      <c r="P5" s="50" t="s">
        <v>10</v>
      </c>
      <c r="Q5" s="51" t="s">
        <v>47</v>
      </c>
      <c r="W5" s="38" t="s">
        <v>12</v>
      </c>
      <c r="Y5" s="51" t="s">
        <v>48</v>
      </c>
      <c r="AG5" s="52"/>
      <c r="BF5" s="409"/>
      <c r="BG5" s="410"/>
      <c r="BH5" s="410"/>
      <c r="BI5" s="411"/>
    </row>
    <row r="6" spans="1:256" ht="14.4" thickBot="1" x14ac:dyDescent="0.2">
      <c r="A6" s="38" t="s">
        <v>21</v>
      </c>
      <c r="D6" s="55" t="str">
        <f>Wedstrijden!K2</f>
        <v>Den Bosch</v>
      </c>
      <c r="P6" s="50" t="s">
        <v>11</v>
      </c>
      <c r="Q6" s="51" t="s">
        <v>49</v>
      </c>
      <c r="W6" s="38" t="s">
        <v>13</v>
      </c>
      <c r="Y6" s="51" t="s">
        <v>50</v>
      </c>
      <c r="AG6" s="52"/>
      <c r="AH6" s="354" t="s">
        <v>51</v>
      </c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BF6" s="412"/>
      <c r="BG6" s="413"/>
      <c r="BH6" s="413"/>
      <c r="BI6" s="414"/>
    </row>
    <row r="7" spans="1:256" x14ac:dyDescent="0.2">
      <c r="A7" s="56" t="s">
        <v>52</v>
      </c>
      <c r="B7" s="57"/>
      <c r="C7" s="57"/>
      <c r="D7" s="57"/>
      <c r="E7" s="58" t="s">
        <v>53</v>
      </c>
      <c r="F7" s="57"/>
      <c r="G7" s="59" t="str">
        <f>VLOOKUP(D4,Wedstrijden!A6:L57,5,0)</f>
        <v>SVG Den Bosch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 t="s">
        <v>54</v>
      </c>
      <c r="X7" s="57"/>
      <c r="Y7" s="57"/>
      <c r="Z7" s="58" t="s">
        <v>55</v>
      </c>
      <c r="AA7" s="58"/>
      <c r="AB7" s="57"/>
      <c r="AC7" s="59" t="str">
        <f>VLOOKUP(D4,Wedstrijden!A6:L57,9,0)</f>
        <v>De Tubanten 1</v>
      </c>
      <c r="AD7" s="60"/>
      <c r="AE7" s="61"/>
      <c r="AF7" s="61"/>
      <c r="AG7" s="61"/>
      <c r="AH7" s="61"/>
      <c r="AI7" s="61"/>
      <c r="AJ7" s="57"/>
      <c r="AK7" s="57"/>
      <c r="AL7" s="57"/>
      <c r="AM7" s="57"/>
      <c r="AN7" s="57"/>
      <c r="AO7" s="61"/>
      <c r="AP7" s="57"/>
      <c r="AQ7" s="57"/>
      <c r="AR7" s="62"/>
    </row>
    <row r="8" spans="1:256" x14ac:dyDescent="0.3">
      <c r="A8" s="63" t="s">
        <v>56</v>
      </c>
      <c r="B8" s="64"/>
      <c r="C8" s="64"/>
      <c r="D8" s="64"/>
      <c r="E8" s="64"/>
      <c r="F8" s="64"/>
      <c r="G8" s="64"/>
      <c r="H8" s="64"/>
      <c r="I8" s="64"/>
      <c r="J8" s="65" t="str">
        <f>VLOOKUP(D4,Wedstrijden!A6:P343,13,0)</f>
        <v>Martijn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 t="s">
        <v>57</v>
      </c>
      <c r="X8" s="64"/>
      <c r="Y8" s="64"/>
      <c r="Z8" s="66" t="str">
        <f>VLOOKUP(D4,Wedstrijden!A6:N170,14,0)</f>
        <v>Dolf</v>
      </c>
      <c r="AA8" s="64"/>
      <c r="AB8" s="64"/>
      <c r="AC8" s="64"/>
      <c r="AD8" s="67"/>
      <c r="AE8" s="68"/>
      <c r="AF8" s="68"/>
      <c r="AG8" s="68"/>
      <c r="AH8" s="68"/>
      <c r="AI8" s="68"/>
      <c r="AJ8" s="69" t="s">
        <v>17</v>
      </c>
      <c r="AK8" s="64"/>
      <c r="AL8" s="64"/>
      <c r="AM8" s="64"/>
      <c r="AN8" s="64"/>
      <c r="AO8" s="68"/>
      <c r="AP8" s="64"/>
      <c r="AQ8" s="64"/>
      <c r="AR8" s="70"/>
    </row>
    <row r="9" spans="1:256" ht="14.4" thickBot="1" x14ac:dyDescent="0.35">
      <c r="A9" s="71" t="s">
        <v>58</v>
      </c>
      <c r="B9" s="72"/>
      <c r="C9" s="72"/>
      <c r="D9" s="72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 t="s">
        <v>59</v>
      </c>
      <c r="X9" s="72"/>
      <c r="Y9" s="72"/>
      <c r="Z9" s="72"/>
      <c r="AA9" s="72"/>
      <c r="AB9" s="73"/>
      <c r="AC9" s="73"/>
      <c r="AD9" s="75"/>
      <c r="AE9" s="76"/>
      <c r="AF9" s="76"/>
      <c r="AG9" s="76"/>
      <c r="AH9" s="76"/>
      <c r="AI9" s="76"/>
      <c r="AJ9" s="73"/>
      <c r="AK9" s="73"/>
      <c r="AL9" s="73"/>
      <c r="AM9" s="73"/>
      <c r="AN9" s="73"/>
      <c r="AO9" s="76"/>
      <c r="AP9" s="73"/>
      <c r="AQ9" s="73"/>
      <c r="AR9" s="77"/>
    </row>
    <row r="10" spans="1:256" ht="15" x14ac:dyDescent="0.3">
      <c r="A10" s="78" t="s">
        <v>60</v>
      </c>
      <c r="B10" s="79"/>
      <c r="C10" s="79"/>
      <c r="D10" s="79"/>
      <c r="E10" s="79"/>
      <c r="F10" s="356" t="str">
        <f>+G7</f>
        <v>SVG Den Bosch</v>
      </c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7"/>
      <c r="Z10" s="362" t="s">
        <v>8</v>
      </c>
      <c r="AA10" s="363"/>
      <c r="AB10" s="363"/>
      <c r="AC10" s="363"/>
      <c r="AD10" s="364"/>
      <c r="AE10" s="80"/>
      <c r="AF10" s="80"/>
      <c r="AG10" s="80"/>
      <c r="AH10" s="80" t="s">
        <v>61</v>
      </c>
      <c r="AI10" s="80" t="s">
        <v>61</v>
      </c>
      <c r="AJ10" s="371" t="s">
        <v>14</v>
      </c>
      <c r="AK10" s="372"/>
      <c r="AL10" s="377" t="s">
        <v>62</v>
      </c>
      <c r="AM10" s="378"/>
      <c r="AN10" s="383" t="s">
        <v>15</v>
      </c>
      <c r="AO10" s="384"/>
      <c r="AP10" s="384"/>
      <c r="AQ10" s="384"/>
      <c r="AR10" s="385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2" t="s">
        <v>136</v>
      </c>
      <c r="BL10" s="82" t="str">
        <f>CONCATENATE($BL$12&amp;BK10&amp;"x")</f>
        <v>swwx</v>
      </c>
      <c r="BM10" s="82" t="str">
        <f>CONCATENATE($BM$12&amp;BK10&amp;"x")</f>
        <v>dwx</v>
      </c>
      <c r="BN10" s="82" t="str">
        <f>CONCATENATE($BN$12&amp;BK10&amp;"x")</f>
        <v>pwx</v>
      </c>
      <c r="BO10" s="82" t="str">
        <f>CONCATENATE($BO$12&amp;BK10&amp;"x")</f>
        <v>umvwx</v>
      </c>
      <c r="BP10" s="82" t="str">
        <f>CONCATENATE($BP$12&amp;BK10&amp;"x")</f>
        <v>uzvwx</v>
      </c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1" spans="1:256" x14ac:dyDescent="0.3">
      <c r="A11" s="393" t="s">
        <v>7</v>
      </c>
      <c r="B11" s="394"/>
      <c r="C11" s="394"/>
      <c r="D11" s="394"/>
      <c r="E11" s="81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  <c r="Z11" s="365"/>
      <c r="AA11" s="366"/>
      <c r="AB11" s="366"/>
      <c r="AC11" s="366"/>
      <c r="AD11" s="367"/>
      <c r="AE11" s="83" t="s">
        <v>63</v>
      </c>
      <c r="AF11" s="83"/>
      <c r="AG11" s="83"/>
      <c r="AH11" s="83" t="s">
        <v>64</v>
      </c>
      <c r="AI11" s="83" t="s">
        <v>65</v>
      </c>
      <c r="AJ11" s="373"/>
      <c r="AK11" s="374"/>
      <c r="AL11" s="379"/>
      <c r="AM11" s="380"/>
      <c r="AN11" s="386"/>
      <c r="AO11" s="387"/>
      <c r="AP11" s="387"/>
      <c r="AQ11" s="387"/>
      <c r="AR11" s="388"/>
      <c r="AS11" s="81"/>
      <c r="AT11" s="81"/>
      <c r="AU11" s="81" t="s">
        <v>17</v>
      </c>
      <c r="AV11" s="81" t="s">
        <v>18</v>
      </c>
      <c r="AW11" s="81" t="s">
        <v>77</v>
      </c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2" t="s">
        <v>142</v>
      </c>
      <c r="BL11" s="82" t="str">
        <f>CONCATENATE($BL$12&amp;BK11&amp;"x")</f>
        <v>swbx</v>
      </c>
      <c r="BM11" s="82" t="str">
        <f>CONCATENATE($BM$12&amp;BK11&amp;"x")</f>
        <v>dbx</v>
      </c>
      <c r="BN11" s="82" t="str">
        <f>CONCATENATE($BN$12&amp;BK11&amp;"x")</f>
        <v>pbx</v>
      </c>
      <c r="BO11" s="82" t="str">
        <f>CONCATENATE($BO$12&amp;BK11&amp;"x")</f>
        <v>umvbx</v>
      </c>
      <c r="BP11" s="82" t="str">
        <f>CONCATENATE($BP$12&amp;BK11&amp;"x")</f>
        <v>uzvbx</v>
      </c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</row>
    <row r="12" spans="1:256" ht="18" x14ac:dyDescent="0.35">
      <c r="A12" s="395"/>
      <c r="B12" s="396"/>
      <c r="C12" s="396"/>
      <c r="D12" s="394"/>
      <c r="E12" s="81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1"/>
      <c r="Z12" s="368"/>
      <c r="AA12" s="369"/>
      <c r="AB12" s="369"/>
      <c r="AC12" s="369"/>
      <c r="AD12" s="370"/>
      <c r="AE12" s="84" t="s">
        <v>17</v>
      </c>
      <c r="AF12" s="84" t="s">
        <v>10</v>
      </c>
      <c r="AG12" s="84" t="s">
        <v>11</v>
      </c>
      <c r="AH12" s="84" t="s">
        <v>66</v>
      </c>
      <c r="AI12" s="84" t="s">
        <v>66</v>
      </c>
      <c r="AJ12" s="375"/>
      <c r="AK12" s="376"/>
      <c r="AL12" s="381"/>
      <c r="AM12" s="382"/>
      <c r="AN12" s="389" t="s">
        <v>17</v>
      </c>
      <c r="AO12" s="369"/>
      <c r="AP12" s="85"/>
      <c r="AQ12" s="369" t="s">
        <v>18</v>
      </c>
      <c r="AR12" s="390"/>
      <c r="AS12" s="81"/>
      <c r="AT12" s="81"/>
      <c r="AU12" s="81" t="s">
        <v>78</v>
      </c>
      <c r="AV12" s="81" t="s">
        <v>79</v>
      </c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 t="s">
        <v>138</v>
      </c>
      <c r="BM12" s="81" t="s">
        <v>139</v>
      </c>
      <c r="BN12" s="81" t="s">
        <v>79</v>
      </c>
      <c r="BO12" s="81" t="s">
        <v>140</v>
      </c>
      <c r="BP12" s="81" t="s">
        <v>141</v>
      </c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</row>
    <row r="13" spans="1:256" ht="15.6" x14ac:dyDescent="0.3">
      <c r="A13" s="86" t="s">
        <v>0</v>
      </c>
      <c r="B13" s="87" t="s">
        <v>1</v>
      </c>
      <c r="C13" s="88"/>
      <c r="D13" s="89"/>
      <c r="E13" s="88" t="s">
        <v>2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90"/>
      <c r="V13" s="91" t="s">
        <v>3</v>
      </c>
      <c r="W13" s="91" t="s">
        <v>4</v>
      </c>
      <c r="X13" s="91" t="s">
        <v>5</v>
      </c>
      <c r="Y13" s="92" t="s">
        <v>6</v>
      </c>
      <c r="Z13" s="93"/>
      <c r="AA13" s="94">
        <v>1</v>
      </c>
      <c r="AB13" s="95" t="s">
        <v>16</v>
      </c>
      <c r="AC13" s="94">
        <v>1</v>
      </c>
      <c r="AD13" s="96">
        <v>5</v>
      </c>
      <c r="AE13" s="97"/>
      <c r="AF13" s="97"/>
      <c r="AG13" s="98" t="s">
        <v>265</v>
      </c>
      <c r="AH13" s="99"/>
      <c r="AI13" s="99"/>
      <c r="AJ13" s="391" t="s">
        <v>18</v>
      </c>
      <c r="AK13" s="392"/>
      <c r="AL13" s="401">
        <v>4</v>
      </c>
      <c r="AM13" s="402"/>
      <c r="AN13" s="100"/>
      <c r="AO13" s="101">
        <f>IF(BQ13="","",IF(BQ13=$BL$10,"2"+AO1,IF(BQ13=$BM$10,"1"+AO1,IF(BQ13=$BN$10,"0"+AO1,IF(BQ13=$BO$10,"0"+AO1,IF(BQ13=$BP$10,"0"+AO1,"0"+AO1))))))</f>
        <v>0</v>
      </c>
      <c r="AP13" s="95" t="s">
        <v>16</v>
      </c>
      <c r="AQ13" s="102"/>
      <c r="AR13" s="103">
        <f>IF(BQ13="","",IF(BQ13=$BL$11,"2"+AR1,IF(BQ13=$BM$11,"1"+AR1,IF(BQ13=$BN$11,"0"+AR1,IF(BQ13=$BO$11,"0"+AR1,IF(BQ13=$BP$11,"0"+AR1,"0"+AR1))))))</f>
        <v>1</v>
      </c>
      <c r="AY13" s="38" t="str">
        <f>CONCATENATE(AJ13&amp;AL13)</f>
        <v>B4</v>
      </c>
      <c r="AZ13" s="38" t="str">
        <f>IF(AE13=$AW$11,"2","0")</f>
        <v>0</v>
      </c>
      <c r="BA13" s="38" t="str">
        <f>IF(AG13=$AW$11,"1","0")</f>
        <v>1</v>
      </c>
      <c r="BB13" s="38" t="str">
        <f>IF(AF13=$AW$11,"1","0")</f>
        <v>0</v>
      </c>
      <c r="BC13" s="38">
        <f>AZ13+BA13</f>
        <v>1</v>
      </c>
      <c r="BD13" s="38">
        <f>BB13+0</f>
        <v>0</v>
      </c>
      <c r="BL13" s="38" t="str">
        <f>IF(AE13="","",CONCATENATE($BL$12&amp;AJ13&amp;AE13))</f>
        <v/>
      </c>
      <c r="BM13" s="38" t="str">
        <f>IF(AG13="","",CONCATENATE($BM$12&amp;AJ13&amp;AG13))</f>
        <v>dBX</v>
      </c>
      <c r="BN13" s="38" t="str">
        <f>IF(AF13="","",CONCATENATE($BN$12&amp;AJ13,AF13))</f>
        <v/>
      </c>
      <c r="BO13" s="38" t="str">
        <f>IF(AH13="","",CONCATENATE($BO$12&amp;AJ13&amp;AH13))</f>
        <v/>
      </c>
      <c r="BP13" s="38" t="str">
        <f>IF(AI13="","",CONCATENATE($BP$12&amp;AJ13&amp;AI13))</f>
        <v/>
      </c>
      <c r="BQ13" s="38" t="str">
        <f>CONCATENATE(BL13&amp;BM13&amp;BN13&amp;BO13&amp;BP13)</f>
        <v>dBX</v>
      </c>
    </row>
    <row r="14" spans="1:256" ht="15.6" x14ac:dyDescent="0.3">
      <c r="A14" s="104" t="s">
        <v>265</v>
      </c>
      <c r="B14" s="397">
        <f>IF(ISBLANK(HLOOKUP($F$10,spelerslijsten!$B$1:$J$22,4,FALSE)),"",HLOOKUP($F$10,spelerslijsten!$B$1:$J$22,4,FALSE))</f>
        <v>3</v>
      </c>
      <c r="C14" s="398"/>
      <c r="D14" s="105"/>
      <c r="E14" s="106" t="str">
        <f>IF(ISBLANK(HLOOKUP($F$10,spelerslijsten!$B$1:$J$22,3,FALSE)),"",HLOOKUP($F$10,spelerslijsten!$B$1:$J$22,3,FALSE))</f>
        <v>Bjorn Blom</v>
      </c>
      <c r="F14" s="107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8">
        <f t="shared" ref="V14:V20" si="0">SUMIF($AY$13:$AY$46,AT14,$BC$13:$BC$46)</f>
        <v>0</v>
      </c>
      <c r="W14" s="109" t="str">
        <f>IF(AU14&gt;0,"x","")</f>
        <v/>
      </c>
      <c r="X14" s="110" t="str">
        <f>IF(AU14&gt;1,"x","")</f>
        <v/>
      </c>
      <c r="Y14" s="103" t="str">
        <f>IF(AU14&gt;2,"x","")</f>
        <v/>
      </c>
      <c r="Z14" s="111"/>
      <c r="AA14" s="112">
        <v>1</v>
      </c>
      <c r="AB14" s="113" t="str">
        <f>+AB13</f>
        <v>-</v>
      </c>
      <c r="AC14" s="112">
        <v>4</v>
      </c>
      <c r="AD14" s="114">
        <v>5</v>
      </c>
      <c r="AE14" s="115"/>
      <c r="AF14" s="115"/>
      <c r="AG14" s="116" t="s">
        <v>265</v>
      </c>
      <c r="AH14" s="117"/>
      <c r="AI14" s="117"/>
      <c r="AJ14" s="342" t="s">
        <v>17</v>
      </c>
      <c r="AK14" s="343"/>
      <c r="AL14" s="346">
        <v>4</v>
      </c>
      <c r="AM14" s="347"/>
      <c r="AN14" s="118"/>
      <c r="AO14" s="101">
        <f>IF(BQ14="","",IF(BQ14=$BL$10,"2"+AO13,IF(BQ14=$BM$10,"1"+AO13,IF(BQ14=$BN$10,"0"+AO13,IF(BQ14=$BO$10,"0"+AO13,IF(BQ14=$BP$10,"0"+AO13,"0"+AO13))))))</f>
        <v>1</v>
      </c>
      <c r="AP14" s="113" t="str">
        <f>+AP13</f>
        <v>-</v>
      </c>
      <c r="AQ14" s="119"/>
      <c r="AR14" s="103">
        <f>IF(BQ14="","",IF(BQ14=$BL$11,"2"+AR13,IF(BQ14=$BM$11,"1"+AR13,IF(BQ14=$BN$11,"0"+AR13,IF(BQ14=$BO$11,"0"+AR13,IF(BQ14=$BP$11,"0"+AR13,"0"+AR13))))))</f>
        <v>1</v>
      </c>
      <c r="AT14" s="38" t="str">
        <f>CONCATENATE($AU$11&amp;B14)</f>
        <v>W3</v>
      </c>
      <c r="AU14" s="38">
        <f>SUMIF($AY$13:$AY$46,AT14,$BD$13:$BD$46)</f>
        <v>0</v>
      </c>
      <c r="AY14" s="38" t="str">
        <f t="shared" ref="AY14:AY46" si="1">CONCATENATE(AJ14&amp;AL14)</f>
        <v>W4</v>
      </c>
      <c r="AZ14" s="38" t="str">
        <f t="shared" ref="AZ14:AZ46" si="2">IF(AE14=$AW$11,"2","0")</f>
        <v>0</v>
      </c>
      <c r="BA14" s="38" t="str">
        <f t="shared" ref="BA14:BA46" si="3">IF(AG14=$AW$11,"1","0")</f>
        <v>1</v>
      </c>
      <c r="BB14" s="38" t="str">
        <f t="shared" ref="BB14:BB46" si="4">IF(AF14=$AW$11,"1","0")</f>
        <v>0</v>
      </c>
      <c r="BC14" s="38">
        <f t="shared" ref="BC14:BC46" si="5">AZ14+BA14</f>
        <v>1</v>
      </c>
      <c r="BD14" s="38">
        <f t="shared" ref="BD14:BD46" si="6">BB14+0</f>
        <v>0</v>
      </c>
      <c r="BL14" s="38" t="str">
        <f t="shared" ref="BL14:BL46" si="7">IF(AE14="","",CONCATENATE($BL$12&amp;AJ14&amp;AE14))</f>
        <v/>
      </c>
      <c r="BM14" s="38" t="str">
        <f t="shared" ref="BM14:BM46" si="8">IF(AG14="","",CONCATENATE($BM$12&amp;AJ14&amp;AG14))</f>
        <v>dWX</v>
      </c>
      <c r="BN14" s="38" t="str">
        <f t="shared" ref="BN14:BN46" si="9">IF(AF14="","",CONCATENATE($BN$12&amp;AJ14,AF14))</f>
        <v/>
      </c>
      <c r="BO14" s="38" t="str">
        <f t="shared" ref="BO14:BO46" si="10">IF(AH14="","",CONCATENATE($BO$12&amp;AJ14&amp;AH14))</f>
        <v/>
      </c>
      <c r="BP14" s="38" t="str">
        <f t="shared" ref="BP14:BP46" si="11">IF(AI14="","",CONCATENATE($BP$12&amp;AJ14&amp;AI14))</f>
        <v/>
      </c>
      <c r="BQ14" s="38" t="str">
        <f t="shared" ref="BQ14:BQ46" si="12">CONCATENATE(BL14&amp;BM14&amp;BN14&amp;BO14&amp;BP14)</f>
        <v>dWX</v>
      </c>
    </row>
    <row r="15" spans="1:256" ht="15.6" x14ac:dyDescent="0.3">
      <c r="A15" s="120" t="s">
        <v>265</v>
      </c>
      <c r="B15" s="397">
        <f>IF(ISBLANK(HLOOKUP($F$10,spelerslijsten!$B$1:$J$22,6,FALSE)),"",HLOOKUP($F$10,spelerslijsten!$B$1:$J$22,6,FALSE))</f>
        <v>4</v>
      </c>
      <c r="C15" s="398"/>
      <c r="D15" s="121"/>
      <c r="E15" s="122" t="str">
        <f>IF(ISBLANK(HLOOKUP($F$10,spelerslijsten!$B$1:$J$22,5,FALSE)),"",HLOOKUP($F$10,spelerslijsten!$B$1:$J$22,5,FALSE))</f>
        <v>Wesley van Eldijk</v>
      </c>
      <c r="F15" s="123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08">
        <f t="shared" si="0"/>
        <v>3</v>
      </c>
      <c r="W15" s="109" t="str">
        <f t="shared" ref="W15:W23" si="13">IF(AU15&gt;0,"x","")</f>
        <v/>
      </c>
      <c r="X15" s="110" t="str">
        <f t="shared" ref="X15:X23" si="14">IF(AU15&gt;1,"x","")</f>
        <v/>
      </c>
      <c r="Y15" s="103" t="str">
        <f t="shared" ref="Y15:Y23" si="15">IF(AU15&gt;2,"x","")</f>
        <v/>
      </c>
      <c r="Z15" s="111"/>
      <c r="AA15" s="112">
        <v>5</v>
      </c>
      <c r="AB15" s="113" t="str">
        <f t="shared" ref="AB15:AB44" si="16">+AB14</f>
        <v>-</v>
      </c>
      <c r="AC15" s="112">
        <v>5</v>
      </c>
      <c r="AD15" s="114">
        <v>5</v>
      </c>
      <c r="AE15" s="115"/>
      <c r="AF15" s="115"/>
      <c r="AG15" s="116" t="s">
        <v>265</v>
      </c>
      <c r="AH15" s="117"/>
      <c r="AI15" s="117"/>
      <c r="AJ15" s="342" t="s">
        <v>17</v>
      </c>
      <c r="AK15" s="343"/>
      <c r="AL15" s="346">
        <v>4</v>
      </c>
      <c r="AM15" s="347"/>
      <c r="AN15" s="118"/>
      <c r="AO15" s="101">
        <f>IF(BQ15="","",IF(BQ15=$BL$10,"2"+AO14,IF(BQ15=$BM$10,"1"+AO14,IF(BQ15=$BN$10,"0"+AO14,IF(BQ15=$BO$10,"0"+AO14,IF(BQ15=$BP$10,"0"+AO14,"0"+AO14))))))</f>
        <v>2</v>
      </c>
      <c r="AP15" s="113" t="str">
        <f>+AP14</f>
        <v>-</v>
      </c>
      <c r="AQ15" s="119"/>
      <c r="AR15" s="103">
        <f>IF(BQ15="","",IF(BQ15=$BL$11,"2"+AR14,IF(BQ15=$BM$11,"1"+AR14,IF(BQ15=$BN$11,"0"+AR14,IF(BQ15=$BO$11,"0"+AR14,IF(BQ15=$BP$11,"0"+AR14,"0"+AR14))))))</f>
        <v>1</v>
      </c>
      <c r="AT15" s="38" t="str">
        <f t="shared" ref="AT15:AT23" si="17">CONCATENATE($AU$11&amp;B15)</f>
        <v>W4</v>
      </c>
      <c r="AU15" s="38">
        <f t="shared" ref="AU15:AU39" si="18">SUMIF($AY$13:$AY$46,AT15,$BD$13:$BD$46)</f>
        <v>0</v>
      </c>
      <c r="AY15" s="38" t="str">
        <f t="shared" si="1"/>
        <v>W4</v>
      </c>
      <c r="AZ15" s="38" t="str">
        <f t="shared" si="2"/>
        <v>0</v>
      </c>
      <c r="BA15" s="38" t="str">
        <f t="shared" si="3"/>
        <v>1</v>
      </c>
      <c r="BB15" s="38" t="str">
        <f t="shared" si="4"/>
        <v>0</v>
      </c>
      <c r="BC15" s="38">
        <f t="shared" si="5"/>
        <v>1</v>
      </c>
      <c r="BD15" s="38">
        <f t="shared" si="6"/>
        <v>0</v>
      </c>
      <c r="BL15" s="38" t="str">
        <f t="shared" si="7"/>
        <v/>
      </c>
      <c r="BM15" s="38" t="str">
        <f t="shared" si="8"/>
        <v>dWX</v>
      </c>
      <c r="BN15" s="38" t="str">
        <f t="shared" si="9"/>
        <v/>
      </c>
      <c r="BO15" s="38" t="str">
        <f t="shared" si="10"/>
        <v/>
      </c>
      <c r="BP15" s="38" t="str">
        <f t="shared" si="11"/>
        <v/>
      </c>
      <c r="BQ15" s="38" t="str">
        <f t="shared" si="12"/>
        <v>dWX</v>
      </c>
    </row>
    <row r="16" spans="1:256" ht="15.6" x14ac:dyDescent="0.3">
      <c r="A16" s="124" t="s">
        <v>265</v>
      </c>
      <c r="B16" s="397">
        <f>IF(ISBLANK(HLOOKUP($F$10,spelerslijsten!$B$1:$J$22,8,FALSE)),"",HLOOKUP($F$10,spelerslijsten!$B$1:$J$22,8,FALSE))</f>
        <v>5</v>
      </c>
      <c r="C16" s="398"/>
      <c r="D16" s="121"/>
      <c r="E16" s="122" t="str">
        <f>IF(ISBLANK(HLOOKUP($F$10,spelerslijsten!$B$1:$J$22,7,FALSE)),"",HLOOKUP($F$10,spelerslijsten!$B$1:$J$22,7,FALSE))</f>
        <v>Jurriaan Rijnaars</v>
      </c>
      <c r="F16" s="12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08">
        <f t="shared" si="0"/>
        <v>1</v>
      </c>
      <c r="W16" s="109" t="str">
        <f t="shared" si="13"/>
        <v>x</v>
      </c>
      <c r="X16" s="110" t="str">
        <f t="shared" si="14"/>
        <v/>
      </c>
      <c r="Y16" s="103" t="str">
        <f t="shared" si="15"/>
        <v/>
      </c>
      <c r="Z16" s="111"/>
      <c r="AA16" s="112">
        <v>6</v>
      </c>
      <c r="AB16" s="113" t="str">
        <f t="shared" si="16"/>
        <v>-</v>
      </c>
      <c r="AC16" s="112">
        <v>3</v>
      </c>
      <c r="AD16" s="114">
        <v>0</v>
      </c>
      <c r="AE16" s="115"/>
      <c r="AF16" s="115"/>
      <c r="AG16" s="116" t="s">
        <v>265</v>
      </c>
      <c r="AH16" s="117"/>
      <c r="AI16" s="117"/>
      <c r="AJ16" s="342" t="s">
        <v>18</v>
      </c>
      <c r="AK16" s="343"/>
      <c r="AL16" s="346">
        <v>4</v>
      </c>
      <c r="AM16" s="347"/>
      <c r="AN16" s="118"/>
      <c r="AO16" s="101">
        <f t="shared" ref="AO16:AO46" si="19">IF(BQ16="","",IF(BQ16=$BL$10,"2"+AO15,IF(BQ16=$BM$10,"1"+AO15,IF(BQ16=$BN$10,"0"+AO15,IF(BQ16=$BO$10,"0"+AO15,IF(BQ16=$BP$10,"0"+AO15,"0"+AO15))))))</f>
        <v>2</v>
      </c>
      <c r="AP16" s="113" t="str">
        <f t="shared" ref="AP16:AP46" si="20">+AP15</f>
        <v>-</v>
      </c>
      <c r="AQ16" s="119"/>
      <c r="AR16" s="103">
        <f t="shared" ref="AR16:AR46" si="21">IF(BQ16="","",IF(BQ16=$BL$11,"2"+AR15,IF(BQ16=$BM$11,"1"+AR15,IF(BQ16=$BN$11,"0"+AR15,IF(BQ16=$BO$11,"0"+AR15,IF(BQ16=$BP$11,"0"+AR15,"0"+AR15))))))</f>
        <v>2</v>
      </c>
      <c r="AT16" s="38" t="str">
        <f t="shared" si="17"/>
        <v>W5</v>
      </c>
      <c r="AU16" s="38">
        <f t="shared" si="18"/>
        <v>1</v>
      </c>
      <c r="AY16" s="38" t="str">
        <f t="shared" si="1"/>
        <v>B4</v>
      </c>
      <c r="AZ16" s="38" t="str">
        <f t="shared" si="2"/>
        <v>0</v>
      </c>
      <c r="BA16" s="38" t="str">
        <f t="shared" si="3"/>
        <v>1</v>
      </c>
      <c r="BB16" s="38" t="str">
        <f t="shared" si="4"/>
        <v>0</v>
      </c>
      <c r="BC16" s="38">
        <f t="shared" si="5"/>
        <v>1</v>
      </c>
      <c r="BD16" s="38">
        <f t="shared" si="6"/>
        <v>0</v>
      </c>
      <c r="BL16" s="38" t="str">
        <f t="shared" si="7"/>
        <v/>
      </c>
      <c r="BM16" s="38" t="str">
        <f t="shared" si="8"/>
        <v>dBX</v>
      </c>
      <c r="BN16" s="38" t="str">
        <f t="shared" si="9"/>
        <v/>
      </c>
      <c r="BO16" s="38" t="str">
        <f t="shared" si="10"/>
        <v/>
      </c>
      <c r="BP16" s="38" t="str">
        <f t="shared" si="11"/>
        <v/>
      </c>
      <c r="BQ16" s="38" t="str">
        <f t="shared" si="12"/>
        <v>dBX</v>
      </c>
    </row>
    <row r="17" spans="1:69" ht="15.6" x14ac:dyDescent="0.3">
      <c r="A17" s="124" t="s">
        <v>265</v>
      </c>
      <c r="B17" s="397">
        <f>IF(ISBLANK(HLOOKUP($F$10,spelerslijsten!$B$1:$J$22,10,FALSE)),"",HLOOKUP($F$10,spelerslijsten!$B$1:$J$22,10,FALSE))</f>
        <v>6</v>
      </c>
      <c r="C17" s="398"/>
      <c r="D17" s="121"/>
      <c r="E17" s="122" t="str">
        <f>IF(ISBLANK(HLOOKUP($F$10,spelerslijsten!$B$1:$J$22,9,FALSE)),"",HLOOKUP($F$10,spelerslijsten!$B$1:$J$22,9,FALSE))</f>
        <v>Lucas van Osch</v>
      </c>
      <c r="F17" s="12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08">
        <f t="shared" si="0"/>
        <v>0</v>
      </c>
      <c r="W17" s="109" t="str">
        <f t="shared" si="13"/>
        <v/>
      </c>
      <c r="X17" s="110" t="str">
        <f t="shared" si="14"/>
        <v/>
      </c>
      <c r="Y17" s="103" t="str">
        <f t="shared" si="15"/>
        <v/>
      </c>
      <c r="Z17" s="111"/>
      <c r="AA17" s="112">
        <v>8</v>
      </c>
      <c r="AB17" s="113" t="str">
        <f t="shared" si="16"/>
        <v>-</v>
      </c>
      <c r="AC17" s="112">
        <v>4</v>
      </c>
      <c r="AD17" s="114">
        <v>8</v>
      </c>
      <c r="AE17" s="115"/>
      <c r="AF17" s="115"/>
      <c r="AG17" s="116" t="s">
        <v>265</v>
      </c>
      <c r="AH17" s="117"/>
      <c r="AI17" s="117"/>
      <c r="AJ17" s="342" t="s">
        <v>17</v>
      </c>
      <c r="AK17" s="343"/>
      <c r="AL17" s="346">
        <v>5</v>
      </c>
      <c r="AM17" s="347"/>
      <c r="AN17" s="118"/>
      <c r="AO17" s="101">
        <f t="shared" si="19"/>
        <v>3</v>
      </c>
      <c r="AP17" s="113" t="str">
        <f t="shared" si="20"/>
        <v>-</v>
      </c>
      <c r="AQ17" s="119"/>
      <c r="AR17" s="103">
        <f t="shared" si="21"/>
        <v>2</v>
      </c>
      <c r="AT17" s="38" t="str">
        <f t="shared" si="17"/>
        <v>W6</v>
      </c>
      <c r="AU17" s="38">
        <f t="shared" si="18"/>
        <v>0</v>
      </c>
      <c r="AY17" s="38" t="str">
        <f t="shared" si="1"/>
        <v>W5</v>
      </c>
      <c r="AZ17" s="38" t="str">
        <f t="shared" si="2"/>
        <v>0</v>
      </c>
      <c r="BA17" s="38" t="str">
        <f t="shared" si="3"/>
        <v>1</v>
      </c>
      <c r="BB17" s="38" t="str">
        <f t="shared" si="4"/>
        <v>0</v>
      </c>
      <c r="BC17" s="38">
        <f t="shared" si="5"/>
        <v>1</v>
      </c>
      <c r="BD17" s="38">
        <f t="shared" si="6"/>
        <v>0</v>
      </c>
      <c r="BL17" s="38" t="str">
        <f t="shared" si="7"/>
        <v/>
      </c>
      <c r="BM17" s="38" t="str">
        <f t="shared" si="8"/>
        <v>dWX</v>
      </c>
      <c r="BN17" s="38" t="str">
        <f t="shared" si="9"/>
        <v/>
      </c>
      <c r="BO17" s="38" t="str">
        <f t="shared" si="10"/>
        <v/>
      </c>
      <c r="BP17" s="38" t="str">
        <f t="shared" si="11"/>
        <v/>
      </c>
      <c r="BQ17" s="38" t="str">
        <f t="shared" si="12"/>
        <v>dWX</v>
      </c>
    </row>
    <row r="18" spans="1:69" ht="15.6" x14ac:dyDescent="0.3">
      <c r="A18" s="124"/>
      <c r="B18" s="397">
        <f>IF(ISBLANK(HLOOKUP($F$10,spelerslijsten!$B$1:$J$22,12,FALSE)),"",HLOOKUP($F$10,spelerslijsten!$B$1:$J$22,12,FALSE))</f>
        <v>7</v>
      </c>
      <c r="C18" s="398"/>
      <c r="D18" s="121"/>
      <c r="E18" s="122" t="str">
        <f>IF(ISBLANK(HLOOKUP($F$10,spelerslijsten!$B$1:$J$22,11,FALSE)),"",HLOOKUP($F$10,spelerslijsten!$B$1:$J$22,11,FALSE))</f>
        <v>Helmi van Hirtum</v>
      </c>
      <c r="F18" s="12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08">
        <f t="shared" si="0"/>
        <v>0</v>
      </c>
      <c r="W18" s="109" t="str">
        <f t="shared" si="13"/>
        <v/>
      </c>
      <c r="X18" s="110" t="str">
        <f t="shared" si="14"/>
        <v/>
      </c>
      <c r="Y18" s="103" t="str">
        <f t="shared" si="15"/>
        <v/>
      </c>
      <c r="Z18" s="111">
        <v>1</v>
      </c>
      <c r="AA18" s="112">
        <v>1</v>
      </c>
      <c r="AB18" s="113" t="s">
        <v>16</v>
      </c>
      <c r="AC18" s="112">
        <v>4</v>
      </c>
      <c r="AD18" s="114">
        <v>9</v>
      </c>
      <c r="AE18" s="115"/>
      <c r="AF18" s="115"/>
      <c r="AG18" s="116" t="s">
        <v>265</v>
      </c>
      <c r="AH18" s="117"/>
      <c r="AI18" s="117"/>
      <c r="AJ18" s="342" t="s">
        <v>17</v>
      </c>
      <c r="AK18" s="343"/>
      <c r="AL18" s="346">
        <v>4</v>
      </c>
      <c r="AM18" s="347"/>
      <c r="AN18" s="118"/>
      <c r="AO18" s="101">
        <f t="shared" si="19"/>
        <v>4</v>
      </c>
      <c r="AP18" s="113" t="str">
        <f t="shared" si="20"/>
        <v>-</v>
      </c>
      <c r="AQ18" s="119"/>
      <c r="AR18" s="103">
        <f t="shared" si="21"/>
        <v>2</v>
      </c>
      <c r="AT18" s="38" t="str">
        <f t="shared" si="17"/>
        <v>W7</v>
      </c>
      <c r="AU18" s="38">
        <f t="shared" si="18"/>
        <v>0</v>
      </c>
      <c r="AY18" s="38" t="str">
        <f t="shared" si="1"/>
        <v>W4</v>
      </c>
      <c r="AZ18" s="38" t="str">
        <f t="shared" si="2"/>
        <v>0</v>
      </c>
      <c r="BA18" s="38" t="str">
        <f t="shared" si="3"/>
        <v>1</v>
      </c>
      <c r="BB18" s="38" t="str">
        <f t="shared" si="4"/>
        <v>0</v>
      </c>
      <c r="BC18" s="38">
        <f t="shared" si="5"/>
        <v>1</v>
      </c>
      <c r="BD18" s="38">
        <f t="shared" si="6"/>
        <v>0</v>
      </c>
      <c r="BL18" s="38" t="str">
        <f t="shared" si="7"/>
        <v/>
      </c>
      <c r="BM18" s="38" t="str">
        <f t="shared" si="8"/>
        <v>dWX</v>
      </c>
      <c r="BN18" s="38" t="str">
        <f t="shared" si="9"/>
        <v/>
      </c>
      <c r="BO18" s="38" t="str">
        <f t="shared" si="10"/>
        <v/>
      </c>
      <c r="BP18" s="38" t="str">
        <f t="shared" si="11"/>
        <v/>
      </c>
      <c r="BQ18" s="38" t="str">
        <f t="shared" si="12"/>
        <v>dWX</v>
      </c>
    </row>
    <row r="19" spans="1:69" ht="15.6" x14ac:dyDescent="0.3">
      <c r="A19" s="124" t="s">
        <v>265</v>
      </c>
      <c r="B19" s="397">
        <f>IF(ISBLANK(HLOOKUP($F$10,spelerslijsten!$B$1:$J$22,14,FALSE)),"",HLOOKUP($F$10,spelerslijsten!$B$1:$J$22,14,FALSE))</f>
        <v>8</v>
      </c>
      <c r="C19" s="398"/>
      <c r="D19" s="121"/>
      <c r="E19" s="122" t="str">
        <f>IF(ISBLANK(HLOOKUP($F$10,spelerslijsten!$B$1:$J$22,13,FALSE)),"",HLOOKUP($F$10,spelerslijsten!$B$1:$J$22,13,FALSE))</f>
        <v>Sara van Grinsven</v>
      </c>
      <c r="F19" s="12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08">
        <f t="shared" si="0"/>
        <v>0</v>
      </c>
      <c r="W19" s="109" t="str">
        <f t="shared" si="13"/>
        <v/>
      </c>
      <c r="X19" s="110" t="str">
        <f t="shared" si="14"/>
        <v/>
      </c>
      <c r="Y19" s="103" t="str">
        <f t="shared" si="15"/>
        <v/>
      </c>
      <c r="Z19" s="111">
        <v>1</v>
      </c>
      <c r="AA19" s="112">
        <v>2</v>
      </c>
      <c r="AB19" s="113" t="str">
        <f t="shared" si="16"/>
        <v>-</v>
      </c>
      <c r="AC19" s="112">
        <v>0</v>
      </c>
      <c r="AD19" s="114">
        <v>0</v>
      </c>
      <c r="AE19" s="115"/>
      <c r="AF19" s="115" t="s">
        <v>265</v>
      </c>
      <c r="AG19" s="116"/>
      <c r="AH19" s="117"/>
      <c r="AI19" s="117"/>
      <c r="AJ19" s="342" t="s">
        <v>17</v>
      </c>
      <c r="AK19" s="343"/>
      <c r="AL19" s="346">
        <v>5</v>
      </c>
      <c r="AM19" s="347"/>
      <c r="AN19" s="118"/>
      <c r="AO19" s="101">
        <f t="shared" si="19"/>
        <v>4</v>
      </c>
      <c r="AP19" s="113" t="str">
        <f t="shared" si="20"/>
        <v>-</v>
      </c>
      <c r="AQ19" s="119"/>
      <c r="AR19" s="103">
        <f t="shared" si="21"/>
        <v>2</v>
      </c>
      <c r="AT19" s="38" t="str">
        <f t="shared" si="17"/>
        <v>W8</v>
      </c>
      <c r="AU19" s="38">
        <f t="shared" si="18"/>
        <v>0</v>
      </c>
      <c r="AY19" s="38" t="str">
        <f t="shared" si="1"/>
        <v>W5</v>
      </c>
      <c r="AZ19" s="38" t="str">
        <f t="shared" si="2"/>
        <v>0</v>
      </c>
      <c r="BA19" s="38" t="str">
        <f t="shared" si="3"/>
        <v>0</v>
      </c>
      <c r="BB19" s="38" t="str">
        <f t="shared" si="4"/>
        <v>1</v>
      </c>
      <c r="BC19" s="38">
        <f t="shared" si="5"/>
        <v>0</v>
      </c>
      <c r="BD19" s="38">
        <f t="shared" si="6"/>
        <v>1</v>
      </c>
      <c r="BL19" s="38" t="str">
        <f t="shared" si="7"/>
        <v/>
      </c>
      <c r="BM19" s="38" t="str">
        <f t="shared" si="8"/>
        <v/>
      </c>
      <c r="BN19" s="38" t="str">
        <f t="shared" si="9"/>
        <v>pWX</v>
      </c>
      <c r="BO19" s="38" t="str">
        <f t="shared" si="10"/>
        <v/>
      </c>
      <c r="BP19" s="38" t="str">
        <f t="shared" si="11"/>
        <v/>
      </c>
      <c r="BQ19" s="38" t="str">
        <f t="shared" si="12"/>
        <v>pWX</v>
      </c>
    </row>
    <row r="20" spans="1:69" ht="15.6" x14ac:dyDescent="0.3">
      <c r="A20" s="124" t="s">
        <v>265</v>
      </c>
      <c r="B20" s="397">
        <f>IF(ISBLANK(HLOOKUP($F$10,spelerslijsten!$B$1:$J$22,16,FALSE)),"",HLOOKUP($F$10,spelerslijsten!$B$1:$J$22,16,FALSE))</f>
        <v>9</v>
      </c>
      <c r="C20" s="398"/>
      <c r="D20" s="121"/>
      <c r="E20" s="122" t="str">
        <f>IF(ISBLANK(HLOOKUP($F$10,spelerslijsten!$B$1:$J$22,15,FALSE)),"",HLOOKUP($F$10,spelerslijsten!$B$1:$J$22,15,FALSE))</f>
        <v>Robby van Gruythuysen</v>
      </c>
      <c r="F20" s="12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08">
        <f t="shared" si="0"/>
        <v>0</v>
      </c>
      <c r="W20" s="109" t="str">
        <f t="shared" si="13"/>
        <v/>
      </c>
      <c r="X20" s="110" t="str">
        <f t="shared" si="14"/>
        <v/>
      </c>
      <c r="Y20" s="103" t="str">
        <f t="shared" si="15"/>
        <v/>
      </c>
      <c r="Z20" s="111">
        <v>1</v>
      </c>
      <c r="AA20" s="112">
        <v>3</v>
      </c>
      <c r="AB20" s="113" t="str">
        <f t="shared" si="16"/>
        <v>-</v>
      </c>
      <c r="AC20" s="112">
        <v>0</v>
      </c>
      <c r="AD20" s="114">
        <v>5</v>
      </c>
      <c r="AE20" s="115"/>
      <c r="AF20" s="115"/>
      <c r="AG20" s="116" t="s">
        <v>265</v>
      </c>
      <c r="AH20" s="117"/>
      <c r="AI20" s="117"/>
      <c r="AJ20" s="342" t="s">
        <v>18</v>
      </c>
      <c r="AK20" s="343"/>
      <c r="AL20" s="346">
        <v>3</v>
      </c>
      <c r="AM20" s="347"/>
      <c r="AN20" s="118"/>
      <c r="AO20" s="101">
        <f t="shared" si="19"/>
        <v>4</v>
      </c>
      <c r="AP20" s="113" t="str">
        <f t="shared" si="20"/>
        <v>-</v>
      </c>
      <c r="AQ20" s="119"/>
      <c r="AR20" s="103">
        <f t="shared" si="21"/>
        <v>3</v>
      </c>
      <c r="AT20" s="38" t="str">
        <f t="shared" si="17"/>
        <v>W9</v>
      </c>
      <c r="AU20" s="38">
        <f t="shared" si="18"/>
        <v>0</v>
      </c>
      <c r="AY20" s="38" t="str">
        <f t="shared" si="1"/>
        <v>B3</v>
      </c>
      <c r="AZ20" s="38" t="str">
        <f t="shared" si="2"/>
        <v>0</v>
      </c>
      <c r="BA20" s="38" t="str">
        <f t="shared" si="3"/>
        <v>1</v>
      </c>
      <c r="BB20" s="38" t="str">
        <f t="shared" si="4"/>
        <v>0</v>
      </c>
      <c r="BC20" s="38">
        <f t="shared" si="5"/>
        <v>1</v>
      </c>
      <c r="BD20" s="38">
        <f t="shared" si="6"/>
        <v>0</v>
      </c>
      <c r="BL20" s="38" t="str">
        <f t="shared" si="7"/>
        <v/>
      </c>
      <c r="BM20" s="38" t="str">
        <f t="shared" si="8"/>
        <v>dBX</v>
      </c>
      <c r="BN20" s="38" t="str">
        <f t="shared" si="9"/>
        <v/>
      </c>
      <c r="BO20" s="38" t="str">
        <f t="shared" si="10"/>
        <v/>
      </c>
      <c r="BP20" s="38" t="str">
        <f t="shared" si="11"/>
        <v/>
      </c>
      <c r="BQ20" s="38" t="str">
        <f t="shared" si="12"/>
        <v>dBX</v>
      </c>
    </row>
    <row r="21" spans="1:69" ht="15.6" x14ac:dyDescent="0.3">
      <c r="A21" s="124"/>
      <c r="B21" s="397">
        <f>IF(ISBLANK(HLOOKUP($F$10,spelerslijsten!$B$1:$J$22,18,FALSE)),"",HLOOKUP($F$10,spelerslijsten!$B$1:$J$22,18,FALSE))</f>
        <v>10</v>
      </c>
      <c r="C21" s="398"/>
      <c r="D21" s="121"/>
      <c r="E21" s="122" t="str">
        <f>IF(ISBLANK(HLOOKUP($F$10,spelerslijsten!$B$1:$J$22,17,FALSE)),"",HLOOKUP($F$10,spelerslijsten!$B$1:$J$22,17,FALSE))</f>
        <v>Peter Schwering</v>
      </c>
      <c r="F21" s="12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08">
        <f>SUMIF($AY$13:$AY$46,AT21,$BC$13:$BC$46)</f>
        <v>0</v>
      </c>
      <c r="W21" s="109" t="str">
        <f t="shared" si="13"/>
        <v/>
      </c>
      <c r="X21" s="110" t="str">
        <f t="shared" si="14"/>
        <v/>
      </c>
      <c r="Y21" s="103" t="str">
        <f t="shared" si="15"/>
        <v/>
      </c>
      <c r="Z21" s="111"/>
      <c r="AA21" s="112"/>
      <c r="AB21" s="113" t="str">
        <f t="shared" si="16"/>
        <v>-</v>
      </c>
      <c r="AC21" s="112"/>
      <c r="AD21" s="114"/>
      <c r="AE21" s="115"/>
      <c r="AF21" s="115"/>
      <c r="AG21" s="116"/>
      <c r="AH21" s="117"/>
      <c r="AI21" s="117"/>
      <c r="AJ21" s="342"/>
      <c r="AK21" s="343"/>
      <c r="AL21" s="346"/>
      <c r="AM21" s="347"/>
      <c r="AN21" s="118"/>
      <c r="AO21" s="101" t="str">
        <f t="shared" si="19"/>
        <v/>
      </c>
      <c r="AP21" s="113" t="str">
        <f t="shared" si="20"/>
        <v>-</v>
      </c>
      <c r="AQ21" s="119"/>
      <c r="AR21" s="103" t="str">
        <f t="shared" si="21"/>
        <v/>
      </c>
      <c r="AT21" s="38" t="str">
        <f t="shared" si="17"/>
        <v>W10</v>
      </c>
      <c r="AU21" s="38">
        <f t="shared" si="18"/>
        <v>0</v>
      </c>
      <c r="AY21" s="38" t="str">
        <f t="shared" si="1"/>
        <v/>
      </c>
      <c r="AZ21" s="38" t="str">
        <f t="shared" si="2"/>
        <v>0</v>
      </c>
      <c r="BA21" s="38" t="str">
        <f t="shared" si="3"/>
        <v>0</v>
      </c>
      <c r="BB21" s="38" t="str">
        <f t="shared" si="4"/>
        <v>0</v>
      </c>
      <c r="BC21" s="38">
        <f t="shared" si="5"/>
        <v>0</v>
      </c>
      <c r="BD21" s="38">
        <f t="shared" si="6"/>
        <v>0</v>
      </c>
      <c r="BL21" s="38" t="str">
        <f t="shared" si="7"/>
        <v/>
      </c>
      <c r="BM21" s="38" t="str">
        <f t="shared" si="8"/>
        <v/>
      </c>
      <c r="BN21" s="38" t="str">
        <f t="shared" si="9"/>
        <v/>
      </c>
      <c r="BO21" s="38" t="str">
        <f t="shared" si="10"/>
        <v/>
      </c>
      <c r="BP21" s="38" t="str">
        <f t="shared" si="11"/>
        <v/>
      </c>
      <c r="BQ21" s="38" t="str">
        <f t="shared" si="12"/>
        <v/>
      </c>
    </row>
    <row r="22" spans="1:69" ht="15.6" x14ac:dyDescent="0.3">
      <c r="A22" s="124"/>
      <c r="B22" s="397">
        <f>IF(ISBLANK(HLOOKUP($F$10,spelerslijsten!$B$1:$J$22,20,FALSE)),"",HLOOKUP($F$10,spelerslijsten!$B$1:$J$22,20,FALSE))</f>
        <v>11</v>
      </c>
      <c r="C22" s="398"/>
      <c r="D22" s="121"/>
      <c r="E22" s="122" t="str">
        <f>IF(ISBLANK(HLOOKUP($F$10,spelerslijsten!$B$1:$J$22,19,FALSE)),"",HLOOKUP($F$10,spelerslijsten!$B$1:$J$22,19,FALSE))</f>
        <v>Stefan Hermens</v>
      </c>
      <c r="F22" s="12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08">
        <f t="shared" ref="V22:V23" si="22">SUMIF($AY$13:$AY$46,AT22,$BC$13:$BC$46)</f>
        <v>0</v>
      </c>
      <c r="W22" s="109" t="str">
        <f t="shared" si="13"/>
        <v/>
      </c>
      <c r="X22" s="110" t="str">
        <f t="shared" si="14"/>
        <v/>
      </c>
      <c r="Y22" s="103" t="str">
        <f t="shared" si="15"/>
        <v/>
      </c>
      <c r="Z22" s="111"/>
      <c r="AA22" s="112"/>
      <c r="AB22" s="113" t="str">
        <f t="shared" si="16"/>
        <v>-</v>
      </c>
      <c r="AC22" s="112"/>
      <c r="AD22" s="114"/>
      <c r="AE22" s="115"/>
      <c r="AF22" s="115"/>
      <c r="AG22" s="116"/>
      <c r="AH22" s="117"/>
      <c r="AI22" s="117"/>
      <c r="AJ22" s="342"/>
      <c r="AK22" s="343"/>
      <c r="AL22" s="346"/>
      <c r="AM22" s="347"/>
      <c r="AN22" s="118"/>
      <c r="AO22" s="101" t="str">
        <f t="shared" si="19"/>
        <v/>
      </c>
      <c r="AP22" s="113" t="str">
        <f t="shared" si="20"/>
        <v>-</v>
      </c>
      <c r="AQ22" s="119"/>
      <c r="AR22" s="103" t="str">
        <f t="shared" si="21"/>
        <v/>
      </c>
      <c r="AT22" s="38" t="str">
        <f t="shared" si="17"/>
        <v>W11</v>
      </c>
      <c r="AU22" s="38">
        <f t="shared" si="18"/>
        <v>0</v>
      </c>
      <c r="AY22" s="38" t="str">
        <f t="shared" si="1"/>
        <v/>
      </c>
      <c r="AZ22" s="38" t="str">
        <f t="shared" si="2"/>
        <v>0</v>
      </c>
      <c r="BA22" s="38" t="str">
        <f t="shared" si="3"/>
        <v>0</v>
      </c>
      <c r="BB22" s="38" t="str">
        <f t="shared" si="4"/>
        <v>0</v>
      </c>
      <c r="BC22" s="38">
        <f t="shared" si="5"/>
        <v>0</v>
      </c>
      <c r="BD22" s="38">
        <f t="shared" si="6"/>
        <v>0</v>
      </c>
      <c r="BL22" s="38" t="str">
        <f t="shared" si="7"/>
        <v/>
      </c>
      <c r="BM22" s="38" t="str">
        <f t="shared" si="8"/>
        <v/>
      </c>
      <c r="BN22" s="38" t="str">
        <f t="shared" si="9"/>
        <v/>
      </c>
      <c r="BO22" s="38" t="str">
        <f t="shared" si="10"/>
        <v/>
      </c>
      <c r="BP22" s="38" t="str">
        <f t="shared" si="11"/>
        <v/>
      </c>
      <c r="BQ22" s="38" t="str">
        <f t="shared" si="12"/>
        <v/>
      </c>
    </row>
    <row r="23" spans="1:69" ht="15.6" x14ac:dyDescent="0.3">
      <c r="A23" s="125"/>
      <c r="B23" s="397" t="str">
        <f>IF(ISBLANK(HLOOKUP($F$10,spelerslijsten!$B$1:$J$22,22,FALSE)),"",HLOOKUP($F$10,spelerslijsten!$B$1:$J$22,22,FALSE))</f>
        <v/>
      </c>
      <c r="C23" s="398"/>
      <c r="D23" s="126"/>
      <c r="E23" s="259" t="str">
        <f>IF(ISBLANK(HLOOKUP($F$10,spelerslijsten!$B$1:$J$22,21,FALSE)),"",HLOOKUP($F$10,spelerslijsten!$B$1:$J$22,21,FALSE))</f>
        <v/>
      </c>
      <c r="F23" s="126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08">
        <f t="shared" si="22"/>
        <v>0</v>
      </c>
      <c r="W23" s="109" t="str">
        <f t="shared" si="13"/>
        <v/>
      </c>
      <c r="X23" s="110" t="str">
        <f t="shared" si="14"/>
        <v/>
      </c>
      <c r="Y23" s="103" t="str">
        <f t="shared" si="15"/>
        <v/>
      </c>
      <c r="Z23" s="111"/>
      <c r="AA23" s="112"/>
      <c r="AB23" s="113" t="str">
        <f t="shared" si="16"/>
        <v>-</v>
      </c>
      <c r="AC23" s="112"/>
      <c r="AD23" s="114"/>
      <c r="AE23" s="115"/>
      <c r="AF23" s="115"/>
      <c r="AG23" s="116"/>
      <c r="AH23" s="117"/>
      <c r="AI23" s="117"/>
      <c r="AJ23" s="342"/>
      <c r="AK23" s="343"/>
      <c r="AL23" s="346"/>
      <c r="AM23" s="347"/>
      <c r="AN23" s="118"/>
      <c r="AO23" s="101" t="str">
        <f t="shared" si="19"/>
        <v/>
      </c>
      <c r="AP23" s="113" t="str">
        <f t="shared" si="20"/>
        <v>-</v>
      </c>
      <c r="AQ23" s="119"/>
      <c r="AR23" s="103" t="str">
        <f t="shared" si="21"/>
        <v/>
      </c>
      <c r="AT23" s="38" t="str">
        <f t="shared" si="17"/>
        <v>W</v>
      </c>
      <c r="AU23" s="38">
        <f t="shared" si="18"/>
        <v>0</v>
      </c>
      <c r="AY23" s="38" t="str">
        <f t="shared" si="1"/>
        <v/>
      </c>
      <c r="AZ23" s="38" t="str">
        <f t="shared" si="2"/>
        <v>0</v>
      </c>
      <c r="BA23" s="38" t="str">
        <f t="shared" si="3"/>
        <v>0</v>
      </c>
      <c r="BB23" s="38" t="str">
        <f t="shared" si="4"/>
        <v>0</v>
      </c>
      <c r="BC23" s="38">
        <f t="shared" si="5"/>
        <v>0</v>
      </c>
      <c r="BD23" s="38">
        <f t="shared" si="6"/>
        <v>0</v>
      </c>
      <c r="BL23" s="38" t="str">
        <f t="shared" si="7"/>
        <v/>
      </c>
      <c r="BM23" s="38" t="str">
        <f t="shared" si="8"/>
        <v/>
      </c>
      <c r="BN23" s="38" t="str">
        <f t="shared" si="9"/>
        <v/>
      </c>
      <c r="BO23" s="38" t="str">
        <f t="shared" si="10"/>
        <v/>
      </c>
      <c r="BP23" s="38" t="str">
        <f t="shared" si="11"/>
        <v/>
      </c>
      <c r="BQ23" s="38" t="str">
        <f t="shared" si="12"/>
        <v/>
      </c>
    </row>
    <row r="24" spans="1:69" ht="16.2" thickBot="1" x14ac:dyDescent="0.35">
      <c r="A24" s="71" t="s">
        <v>67</v>
      </c>
      <c r="B24" s="72"/>
      <c r="C24" s="72"/>
      <c r="D24" s="72"/>
      <c r="E24" s="72"/>
      <c r="F24" s="72"/>
      <c r="G24" s="72"/>
      <c r="I24" s="399">
        <f>HLOOKUP(F10,spelerslijsten!B1:J25,25,FALSE)</f>
        <v>5</v>
      </c>
      <c r="J24" s="400"/>
      <c r="K24" s="74" t="s">
        <v>23</v>
      </c>
      <c r="L24" s="72"/>
      <c r="M24" s="72"/>
      <c r="N24" s="129" t="str">
        <f>HLOOKUP(F10,spelerslijsten!B1:J25,23,FALSE)</f>
        <v>Luuk Muskens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30"/>
      <c r="Z24" s="131"/>
      <c r="AA24" s="132"/>
      <c r="AB24" s="133" t="str">
        <f t="shared" si="16"/>
        <v>-</v>
      </c>
      <c r="AC24" s="132"/>
      <c r="AD24" s="134"/>
      <c r="AE24" s="135"/>
      <c r="AF24" s="135"/>
      <c r="AG24" s="136"/>
      <c r="AH24" s="137"/>
      <c r="AI24" s="137"/>
      <c r="AJ24" s="342"/>
      <c r="AK24" s="343"/>
      <c r="AL24" s="350"/>
      <c r="AM24" s="351"/>
      <c r="AN24" s="138"/>
      <c r="AO24" s="101" t="str">
        <f t="shared" si="19"/>
        <v/>
      </c>
      <c r="AP24" s="113" t="str">
        <f t="shared" si="20"/>
        <v>-</v>
      </c>
      <c r="AQ24" s="119"/>
      <c r="AR24" s="103" t="str">
        <f t="shared" si="21"/>
        <v/>
      </c>
      <c r="AY24" s="38" t="str">
        <f t="shared" si="1"/>
        <v/>
      </c>
      <c r="AZ24" s="38" t="str">
        <f t="shared" si="2"/>
        <v>0</v>
      </c>
      <c r="BA24" s="38" t="str">
        <f t="shared" si="3"/>
        <v>0</v>
      </c>
      <c r="BB24" s="38" t="str">
        <f t="shared" si="4"/>
        <v>0</v>
      </c>
      <c r="BC24" s="38">
        <f t="shared" si="5"/>
        <v>0</v>
      </c>
      <c r="BD24" s="38">
        <f t="shared" si="6"/>
        <v>0</v>
      </c>
      <c r="BL24" s="38" t="str">
        <f t="shared" si="7"/>
        <v/>
      </c>
      <c r="BM24" s="38" t="str">
        <f t="shared" si="8"/>
        <v/>
      </c>
      <c r="BN24" s="38" t="str">
        <f t="shared" si="9"/>
        <v/>
      </c>
      <c r="BO24" s="38" t="str">
        <f t="shared" si="10"/>
        <v/>
      </c>
      <c r="BP24" s="38" t="str">
        <f t="shared" si="11"/>
        <v/>
      </c>
      <c r="BQ24" s="38" t="str">
        <f t="shared" si="12"/>
        <v/>
      </c>
    </row>
    <row r="25" spans="1:69" ht="15" customHeight="1" x14ac:dyDescent="0.3">
      <c r="A25" s="78" t="s">
        <v>60</v>
      </c>
      <c r="B25" s="79"/>
      <c r="C25" s="79"/>
      <c r="D25" s="79"/>
      <c r="E25" s="79"/>
      <c r="F25" s="356" t="str">
        <f>+AC7</f>
        <v>De Tubanten 1</v>
      </c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7"/>
      <c r="Z25" s="139"/>
      <c r="AA25" s="140"/>
      <c r="AB25" s="141" t="str">
        <f t="shared" si="16"/>
        <v>-</v>
      </c>
      <c r="AC25" s="140"/>
      <c r="AD25" s="142"/>
      <c r="AE25" s="143"/>
      <c r="AF25" s="143"/>
      <c r="AG25" s="144"/>
      <c r="AH25" s="145"/>
      <c r="AI25" s="145"/>
      <c r="AJ25" s="342"/>
      <c r="AK25" s="343"/>
      <c r="AL25" s="346"/>
      <c r="AM25" s="347"/>
      <c r="AN25" s="146"/>
      <c r="AO25" s="101" t="str">
        <f t="shared" si="19"/>
        <v/>
      </c>
      <c r="AP25" s="113" t="str">
        <f t="shared" si="20"/>
        <v>-</v>
      </c>
      <c r="AQ25" s="119"/>
      <c r="AR25" s="103" t="str">
        <f t="shared" si="21"/>
        <v/>
      </c>
      <c r="AY25" s="38" t="str">
        <f t="shared" si="1"/>
        <v/>
      </c>
      <c r="AZ25" s="38" t="str">
        <f t="shared" si="2"/>
        <v>0</v>
      </c>
      <c r="BA25" s="38" t="str">
        <f t="shared" si="3"/>
        <v>0</v>
      </c>
      <c r="BB25" s="38" t="str">
        <f t="shared" si="4"/>
        <v>0</v>
      </c>
      <c r="BC25" s="38">
        <f t="shared" si="5"/>
        <v>0</v>
      </c>
      <c r="BD25" s="38">
        <f t="shared" si="6"/>
        <v>0</v>
      </c>
      <c r="BL25" s="38" t="str">
        <f t="shared" si="7"/>
        <v/>
      </c>
      <c r="BM25" s="38" t="str">
        <f t="shared" si="8"/>
        <v/>
      </c>
      <c r="BN25" s="38" t="str">
        <f t="shared" si="9"/>
        <v/>
      </c>
      <c r="BO25" s="38" t="str">
        <f t="shared" si="10"/>
        <v/>
      </c>
      <c r="BP25" s="38" t="str">
        <f t="shared" si="11"/>
        <v/>
      </c>
      <c r="BQ25" s="38" t="str">
        <f t="shared" si="12"/>
        <v/>
      </c>
    </row>
    <row r="26" spans="1:69" ht="15" customHeight="1" x14ac:dyDescent="0.3">
      <c r="A26" s="393" t="s">
        <v>24</v>
      </c>
      <c r="B26" s="394"/>
      <c r="C26" s="394"/>
      <c r="D26" s="394"/>
      <c r="E26" s="81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9"/>
      <c r="Z26" s="139"/>
      <c r="AA26" s="140"/>
      <c r="AB26" s="141" t="s">
        <v>16</v>
      </c>
      <c r="AC26" s="140"/>
      <c r="AD26" s="142"/>
      <c r="AE26" s="143"/>
      <c r="AF26" s="143"/>
      <c r="AG26" s="144"/>
      <c r="AH26" s="145"/>
      <c r="AI26" s="145"/>
      <c r="AJ26" s="342"/>
      <c r="AK26" s="343"/>
      <c r="AL26" s="346"/>
      <c r="AM26" s="347"/>
      <c r="AN26" s="146"/>
      <c r="AO26" s="101" t="str">
        <f t="shared" si="19"/>
        <v/>
      </c>
      <c r="AP26" s="113" t="str">
        <f t="shared" si="20"/>
        <v>-</v>
      </c>
      <c r="AQ26" s="119"/>
      <c r="AR26" s="103" t="str">
        <f t="shared" si="21"/>
        <v/>
      </c>
      <c r="AY26" s="38" t="str">
        <f t="shared" si="1"/>
        <v/>
      </c>
      <c r="AZ26" s="38" t="str">
        <f t="shared" si="2"/>
        <v>0</v>
      </c>
      <c r="BA26" s="38" t="str">
        <f t="shared" si="3"/>
        <v>0</v>
      </c>
      <c r="BB26" s="38" t="str">
        <f t="shared" si="4"/>
        <v>0</v>
      </c>
      <c r="BC26" s="38">
        <f t="shared" si="5"/>
        <v>0</v>
      </c>
      <c r="BD26" s="38">
        <f t="shared" si="6"/>
        <v>0</v>
      </c>
      <c r="BL26" s="38" t="str">
        <f t="shared" si="7"/>
        <v/>
      </c>
      <c r="BM26" s="38" t="str">
        <f t="shared" si="8"/>
        <v/>
      </c>
      <c r="BN26" s="38" t="str">
        <f t="shared" si="9"/>
        <v/>
      </c>
      <c r="BO26" s="38" t="str">
        <f t="shared" si="10"/>
        <v/>
      </c>
      <c r="BP26" s="38" t="str">
        <f t="shared" si="11"/>
        <v/>
      </c>
      <c r="BQ26" s="38" t="str">
        <f t="shared" si="12"/>
        <v/>
      </c>
    </row>
    <row r="27" spans="1:69" ht="15.6" x14ac:dyDescent="0.3">
      <c r="A27" s="393"/>
      <c r="B27" s="394"/>
      <c r="C27" s="394"/>
      <c r="D27" s="394"/>
      <c r="E27" s="81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9"/>
      <c r="Z27" s="139"/>
      <c r="AA27" s="140"/>
      <c r="AB27" s="141" t="s">
        <v>16</v>
      </c>
      <c r="AC27" s="140"/>
      <c r="AD27" s="142"/>
      <c r="AE27" s="143"/>
      <c r="AF27" s="143"/>
      <c r="AG27" s="144"/>
      <c r="AH27" s="145"/>
      <c r="AI27" s="145"/>
      <c r="AJ27" s="342"/>
      <c r="AK27" s="343"/>
      <c r="AL27" s="346"/>
      <c r="AM27" s="347"/>
      <c r="AN27" s="146"/>
      <c r="AO27" s="101" t="str">
        <f t="shared" si="19"/>
        <v/>
      </c>
      <c r="AP27" s="113" t="str">
        <f t="shared" si="20"/>
        <v>-</v>
      </c>
      <c r="AQ27" s="119"/>
      <c r="AR27" s="103" t="str">
        <f t="shared" si="21"/>
        <v/>
      </c>
      <c r="AY27" s="38" t="str">
        <f t="shared" si="1"/>
        <v/>
      </c>
      <c r="AZ27" s="38" t="str">
        <f t="shared" si="2"/>
        <v>0</v>
      </c>
      <c r="BA27" s="38" t="str">
        <f t="shared" si="3"/>
        <v>0</v>
      </c>
      <c r="BB27" s="38" t="str">
        <f t="shared" si="4"/>
        <v>0</v>
      </c>
      <c r="BC27" s="38">
        <f t="shared" si="5"/>
        <v>0</v>
      </c>
      <c r="BD27" s="38">
        <f t="shared" si="6"/>
        <v>0</v>
      </c>
      <c r="BL27" s="38" t="str">
        <f t="shared" si="7"/>
        <v/>
      </c>
      <c r="BM27" s="38" t="str">
        <f t="shared" si="8"/>
        <v/>
      </c>
      <c r="BN27" s="38" t="str">
        <f t="shared" si="9"/>
        <v/>
      </c>
      <c r="BO27" s="38" t="str">
        <f t="shared" si="10"/>
        <v/>
      </c>
      <c r="BP27" s="38" t="str">
        <f t="shared" si="11"/>
        <v/>
      </c>
      <c r="BQ27" s="38" t="str">
        <f t="shared" si="12"/>
        <v/>
      </c>
    </row>
    <row r="28" spans="1:69" ht="15.6" x14ac:dyDescent="0.3">
      <c r="A28" s="395"/>
      <c r="B28" s="396"/>
      <c r="C28" s="396"/>
      <c r="D28" s="396"/>
      <c r="E28" s="81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1"/>
      <c r="Z28" s="147"/>
      <c r="AA28" s="140"/>
      <c r="AB28" s="148" t="str">
        <f>+AB25</f>
        <v>-</v>
      </c>
      <c r="AC28" s="140"/>
      <c r="AD28" s="142"/>
      <c r="AE28" s="143"/>
      <c r="AF28" s="143"/>
      <c r="AG28" s="144"/>
      <c r="AH28" s="145"/>
      <c r="AI28" s="145"/>
      <c r="AJ28" s="342"/>
      <c r="AK28" s="343"/>
      <c r="AL28" s="346"/>
      <c r="AM28" s="347"/>
      <c r="AN28" s="146"/>
      <c r="AO28" s="101" t="str">
        <f t="shared" si="19"/>
        <v/>
      </c>
      <c r="AP28" s="113" t="str">
        <f t="shared" si="20"/>
        <v>-</v>
      </c>
      <c r="AQ28" s="119"/>
      <c r="AR28" s="103" t="str">
        <f t="shared" si="21"/>
        <v/>
      </c>
      <c r="AY28" s="38" t="str">
        <f t="shared" si="1"/>
        <v/>
      </c>
      <c r="AZ28" s="38" t="str">
        <f t="shared" si="2"/>
        <v>0</v>
      </c>
      <c r="BA28" s="38" t="str">
        <f t="shared" si="3"/>
        <v>0</v>
      </c>
      <c r="BB28" s="38" t="str">
        <f t="shared" si="4"/>
        <v>0</v>
      </c>
      <c r="BC28" s="38">
        <f t="shared" si="5"/>
        <v>0</v>
      </c>
      <c r="BD28" s="38">
        <f t="shared" si="6"/>
        <v>0</v>
      </c>
      <c r="BL28" s="38" t="str">
        <f t="shared" si="7"/>
        <v/>
      </c>
      <c r="BM28" s="38" t="str">
        <f t="shared" si="8"/>
        <v/>
      </c>
      <c r="BN28" s="38" t="str">
        <f t="shared" si="9"/>
        <v/>
      </c>
      <c r="BO28" s="38" t="str">
        <f t="shared" si="10"/>
        <v/>
      </c>
      <c r="BP28" s="38" t="str">
        <f t="shared" si="11"/>
        <v/>
      </c>
      <c r="BQ28" s="38" t="str">
        <f t="shared" si="12"/>
        <v/>
      </c>
    </row>
    <row r="29" spans="1:69" ht="15.6" x14ac:dyDescent="0.3">
      <c r="A29" s="86" t="s">
        <v>0</v>
      </c>
      <c r="B29" s="87" t="s">
        <v>1</v>
      </c>
      <c r="C29" s="64"/>
      <c r="D29" s="89"/>
      <c r="E29" s="88" t="s">
        <v>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90"/>
      <c r="V29" s="91" t="s">
        <v>3</v>
      </c>
      <c r="W29" s="91" t="s">
        <v>4</v>
      </c>
      <c r="X29" s="91" t="s">
        <v>5</v>
      </c>
      <c r="Y29" s="92" t="s">
        <v>6</v>
      </c>
      <c r="Z29" s="111"/>
      <c r="AA29" s="149"/>
      <c r="AB29" s="150" t="str">
        <f t="shared" si="16"/>
        <v>-</v>
      </c>
      <c r="AC29" s="149"/>
      <c r="AD29" s="151"/>
      <c r="AE29" s="152"/>
      <c r="AF29" s="152"/>
      <c r="AG29" s="153"/>
      <c r="AH29" s="154"/>
      <c r="AI29" s="154"/>
      <c r="AJ29" s="342"/>
      <c r="AK29" s="343"/>
      <c r="AL29" s="348"/>
      <c r="AM29" s="349"/>
      <c r="AN29" s="155"/>
      <c r="AO29" s="101" t="str">
        <f t="shared" si="19"/>
        <v/>
      </c>
      <c r="AP29" s="113" t="str">
        <f t="shared" si="20"/>
        <v>-</v>
      </c>
      <c r="AQ29" s="119"/>
      <c r="AR29" s="103" t="str">
        <f t="shared" si="21"/>
        <v/>
      </c>
      <c r="AY29" s="38" t="str">
        <f t="shared" si="1"/>
        <v/>
      </c>
      <c r="AZ29" s="38" t="str">
        <f t="shared" si="2"/>
        <v>0</v>
      </c>
      <c r="BA29" s="38" t="str">
        <f t="shared" si="3"/>
        <v>0</v>
      </c>
      <c r="BB29" s="38" t="str">
        <f t="shared" si="4"/>
        <v>0</v>
      </c>
      <c r="BC29" s="38">
        <f t="shared" si="5"/>
        <v>0</v>
      </c>
      <c r="BD29" s="38">
        <f t="shared" si="6"/>
        <v>0</v>
      </c>
      <c r="BL29" s="38" t="str">
        <f t="shared" si="7"/>
        <v/>
      </c>
      <c r="BM29" s="38" t="str">
        <f t="shared" si="8"/>
        <v/>
      </c>
      <c r="BN29" s="38" t="str">
        <f t="shared" si="9"/>
        <v/>
      </c>
      <c r="BO29" s="38" t="str">
        <f t="shared" si="10"/>
        <v/>
      </c>
      <c r="BP29" s="38" t="str">
        <f t="shared" si="11"/>
        <v/>
      </c>
      <c r="BQ29" s="38" t="str">
        <f t="shared" si="12"/>
        <v/>
      </c>
    </row>
    <row r="30" spans="1:69" ht="15.6" x14ac:dyDescent="0.3">
      <c r="A30" s="104" t="s">
        <v>265</v>
      </c>
      <c r="B30" s="397">
        <f>IF(ISBLANK(HLOOKUP($F$25,spelerslijsten!$B$1:$J$22,4,FALSE)),"",HLOOKUP($F$25,spelerslijsten!$B$1:$J$22,4,FALSE))</f>
        <v>2</v>
      </c>
      <c r="C30" s="398"/>
      <c r="D30" s="105"/>
      <c r="E30" s="106" t="str">
        <f>IF(ISBLANK(HLOOKUP($F$25,spelerslijsten!$B$1:$J$22,3,FALSE)),"",HLOOKUP($F$25,spelerslijsten!$B$1:$J$22,3,FALSE))</f>
        <v>Sean Williams</v>
      </c>
      <c r="F30" s="105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8">
        <f t="shared" ref="V30:V39" si="23">SUMIF($AY$13:$AY$46,AT30,$BC$13:$BC$46)</f>
        <v>0</v>
      </c>
      <c r="W30" s="109" t="str">
        <f>IF(AU30&gt;0,"x","")</f>
        <v/>
      </c>
      <c r="X30" s="110" t="str">
        <f>IF(AU30&gt;1,"x","")</f>
        <v/>
      </c>
      <c r="Y30" s="103" t="str">
        <f>IF(AU30&gt;2,"x","")</f>
        <v/>
      </c>
      <c r="Z30" s="111"/>
      <c r="AA30" s="112"/>
      <c r="AB30" s="113" t="str">
        <f t="shared" si="16"/>
        <v>-</v>
      </c>
      <c r="AC30" s="112"/>
      <c r="AD30" s="114"/>
      <c r="AE30" s="115"/>
      <c r="AF30" s="115"/>
      <c r="AG30" s="116"/>
      <c r="AH30" s="117"/>
      <c r="AI30" s="117"/>
      <c r="AJ30" s="342"/>
      <c r="AK30" s="343"/>
      <c r="AL30" s="346"/>
      <c r="AM30" s="347"/>
      <c r="AN30" s="118"/>
      <c r="AO30" s="101" t="str">
        <f t="shared" si="19"/>
        <v/>
      </c>
      <c r="AP30" s="113" t="str">
        <f t="shared" si="20"/>
        <v>-</v>
      </c>
      <c r="AQ30" s="119"/>
      <c r="AR30" s="103" t="str">
        <f t="shared" si="21"/>
        <v/>
      </c>
      <c r="AT30" s="38" t="str">
        <f>CONCATENATE($AV$11&amp;B30)</f>
        <v>B2</v>
      </c>
      <c r="AU30" s="38">
        <f t="shared" si="18"/>
        <v>0</v>
      </c>
      <c r="AY30" s="38" t="str">
        <f t="shared" si="1"/>
        <v/>
      </c>
      <c r="AZ30" s="38" t="str">
        <f t="shared" si="2"/>
        <v>0</v>
      </c>
      <c r="BA30" s="38" t="str">
        <f t="shared" si="3"/>
        <v>0</v>
      </c>
      <c r="BB30" s="38" t="str">
        <f t="shared" si="4"/>
        <v>0</v>
      </c>
      <c r="BC30" s="38">
        <f t="shared" si="5"/>
        <v>0</v>
      </c>
      <c r="BD30" s="38">
        <f t="shared" si="6"/>
        <v>0</v>
      </c>
      <c r="BL30" s="38" t="str">
        <f t="shared" si="7"/>
        <v/>
      </c>
      <c r="BM30" s="38" t="str">
        <f t="shared" si="8"/>
        <v/>
      </c>
      <c r="BN30" s="38" t="str">
        <f t="shared" si="9"/>
        <v/>
      </c>
      <c r="BO30" s="38" t="str">
        <f t="shared" si="10"/>
        <v/>
      </c>
      <c r="BP30" s="38" t="str">
        <f t="shared" si="11"/>
        <v/>
      </c>
      <c r="BQ30" s="38" t="str">
        <f t="shared" si="12"/>
        <v/>
      </c>
    </row>
    <row r="31" spans="1:69" ht="15.6" x14ac:dyDescent="0.3">
      <c r="A31" s="120" t="s">
        <v>265</v>
      </c>
      <c r="B31" s="397">
        <f>IF(ISBLANK(HLOOKUP($F$25,spelerslijsten!$B$1:$J$22,6,FALSE)),"",HLOOKUP($F$25,spelerslijsten!$B$1:$J$22,6,FALSE))</f>
        <v>3</v>
      </c>
      <c r="C31" s="398"/>
      <c r="D31" s="121"/>
      <c r="E31" s="122" t="str">
        <f>IF(ISBLANK(HLOOKUP($F$25,spelerslijsten!$B$1:$J$22,5,FALSE)),"",HLOOKUP($F$25,spelerslijsten!$B$1:$J$22,5,FALSE))</f>
        <v>Liam Williams</v>
      </c>
      <c r="F31" s="12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08">
        <f t="shared" si="23"/>
        <v>1</v>
      </c>
      <c r="W31" s="109" t="str">
        <f t="shared" ref="W31:W39" si="24">IF(AU31&gt;0,"x","")</f>
        <v/>
      </c>
      <c r="X31" s="110" t="str">
        <f t="shared" ref="X31:X39" si="25">IF(AU31&gt;1,"x","")</f>
        <v/>
      </c>
      <c r="Y31" s="103" t="str">
        <f t="shared" ref="Y31:Y39" si="26">IF(AU31&gt;2,"x","")</f>
        <v/>
      </c>
      <c r="Z31" s="111"/>
      <c r="AA31" s="112"/>
      <c r="AB31" s="113" t="str">
        <f t="shared" si="16"/>
        <v>-</v>
      </c>
      <c r="AC31" s="112"/>
      <c r="AD31" s="114"/>
      <c r="AE31" s="115"/>
      <c r="AF31" s="115"/>
      <c r="AG31" s="116"/>
      <c r="AH31" s="117"/>
      <c r="AI31" s="117"/>
      <c r="AJ31" s="342"/>
      <c r="AK31" s="343"/>
      <c r="AL31" s="346"/>
      <c r="AM31" s="347"/>
      <c r="AN31" s="118"/>
      <c r="AO31" s="101" t="str">
        <f t="shared" si="19"/>
        <v/>
      </c>
      <c r="AP31" s="113" t="str">
        <f t="shared" si="20"/>
        <v>-</v>
      </c>
      <c r="AQ31" s="119"/>
      <c r="AR31" s="103" t="str">
        <f t="shared" si="21"/>
        <v/>
      </c>
      <c r="AT31" s="38" t="str">
        <f t="shared" ref="AT31:AT39" si="27">CONCATENATE($AV$11&amp;B31)</f>
        <v>B3</v>
      </c>
      <c r="AU31" s="38">
        <f t="shared" si="18"/>
        <v>0</v>
      </c>
      <c r="AY31" s="38" t="str">
        <f t="shared" si="1"/>
        <v/>
      </c>
      <c r="AZ31" s="38" t="str">
        <f t="shared" si="2"/>
        <v>0</v>
      </c>
      <c r="BA31" s="38" t="str">
        <f t="shared" si="3"/>
        <v>0</v>
      </c>
      <c r="BB31" s="38" t="str">
        <f t="shared" si="4"/>
        <v>0</v>
      </c>
      <c r="BC31" s="38">
        <f t="shared" si="5"/>
        <v>0</v>
      </c>
      <c r="BD31" s="38">
        <f t="shared" si="6"/>
        <v>0</v>
      </c>
      <c r="BL31" s="38" t="str">
        <f t="shared" si="7"/>
        <v/>
      </c>
      <c r="BM31" s="38" t="str">
        <f t="shared" si="8"/>
        <v/>
      </c>
      <c r="BN31" s="38" t="str">
        <f t="shared" si="9"/>
        <v/>
      </c>
      <c r="BO31" s="38" t="str">
        <f t="shared" si="10"/>
        <v/>
      </c>
      <c r="BP31" s="38" t="str">
        <f t="shared" si="11"/>
        <v/>
      </c>
      <c r="BQ31" s="38" t="str">
        <f t="shared" si="12"/>
        <v/>
      </c>
    </row>
    <row r="32" spans="1:69" ht="15.6" x14ac:dyDescent="0.3">
      <c r="A32" s="124" t="s">
        <v>265</v>
      </c>
      <c r="B32" s="397">
        <f>IF(ISBLANK(HLOOKUP($F$25,spelerslijsten!$B$1:$J$22,8,FALSE)),"",HLOOKUP($F$25,spelerslijsten!$B$1:$J$22,8,FALSE))</f>
        <v>4</v>
      </c>
      <c r="C32" s="398"/>
      <c r="D32" s="121"/>
      <c r="E32" s="122" t="str">
        <f>IF(ISBLANK(HLOOKUP($F$25,spelerslijsten!$B$1:$J$22,7,FALSE)),"",HLOOKUP($F$25,spelerslijsten!$B$1:$J$22,7,FALSE))</f>
        <v>Andre Buitink</v>
      </c>
      <c r="F32" s="12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08">
        <f t="shared" si="23"/>
        <v>2</v>
      </c>
      <c r="W32" s="109" t="str">
        <f t="shared" si="24"/>
        <v/>
      </c>
      <c r="X32" s="110" t="str">
        <f t="shared" si="25"/>
        <v/>
      </c>
      <c r="Y32" s="103" t="str">
        <f t="shared" si="26"/>
        <v/>
      </c>
      <c r="Z32" s="111"/>
      <c r="AA32" s="112"/>
      <c r="AB32" s="113" t="str">
        <f t="shared" si="16"/>
        <v>-</v>
      </c>
      <c r="AC32" s="112"/>
      <c r="AD32" s="114"/>
      <c r="AE32" s="115"/>
      <c r="AF32" s="115"/>
      <c r="AG32" s="116"/>
      <c r="AH32" s="117"/>
      <c r="AI32" s="117"/>
      <c r="AJ32" s="342"/>
      <c r="AK32" s="343"/>
      <c r="AL32" s="346"/>
      <c r="AM32" s="347"/>
      <c r="AN32" s="118"/>
      <c r="AO32" s="101" t="str">
        <f t="shared" si="19"/>
        <v/>
      </c>
      <c r="AP32" s="113" t="str">
        <f t="shared" si="20"/>
        <v>-</v>
      </c>
      <c r="AQ32" s="119"/>
      <c r="AR32" s="103" t="str">
        <f t="shared" si="21"/>
        <v/>
      </c>
      <c r="AT32" s="38" t="str">
        <f t="shared" si="27"/>
        <v>B4</v>
      </c>
      <c r="AU32" s="38">
        <f t="shared" si="18"/>
        <v>0</v>
      </c>
      <c r="AY32" s="38" t="str">
        <f t="shared" si="1"/>
        <v/>
      </c>
      <c r="AZ32" s="38" t="str">
        <f t="shared" si="2"/>
        <v>0</v>
      </c>
      <c r="BA32" s="38" t="str">
        <f t="shared" si="3"/>
        <v>0</v>
      </c>
      <c r="BB32" s="38" t="str">
        <f t="shared" si="4"/>
        <v>0</v>
      </c>
      <c r="BC32" s="38">
        <f t="shared" si="5"/>
        <v>0</v>
      </c>
      <c r="BD32" s="38">
        <f t="shared" si="6"/>
        <v>0</v>
      </c>
      <c r="BL32" s="38" t="str">
        <f t="shared" si="7"/>
        <v/>
      </c>
      <c r="BM32" s="38" t="str">
        <f t="shared" si="8"/>
        <v/>
      </c>
      <c r="BN32" s="38" t="str">
        <f t="shared" si="9"/>
        <v/>
      </c>
      <c r="BO32" s="38" t="str">
        <f t="shared" si="10"/>
        <v/>
      </c>
      <c r="BP32" s="38" t="str">
        <f t="shared" si="11"/>
        <v/>
      </c>
      <c r="BQ32" s="38" t="str">
        <f t="shared" si="12"/>
        <v/>
      </c>
    </row>
    <row r="33" spans="1:69" ht="15.6" x14ac:dyDescent="0.3">
      <c r="A33" s="124"/>
      <c r="B33" s="397">
        <f>IF(ISBLANK(HLOOKUP($F$25,spelerslijsten!$B$1:$J$22,10,FALSE)),"",HLOOKUP($F$25,spelerslijsten!$B$1:$J$22,10,FALSE))</f>
        <v>5</v>
      </c>
      <c r="C33" s="398"/>
      <c r="D33" s="121"/>
      <c r="E33" s="122" t="str">
        <f>IF(ISBLANK(HLOOKUP($F$25,spelerslijsten!$B$1:$J$22,9,FALSE)),"",HLOOKUP($F$25,spelerslijsten!$B$1:$J$22,9,FALSE))</f>
        <v>Marco Ensink</v>
      </c>
      <c r="F33" s="12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08">
        <f t="shared" si="23"/>
        <v>0</v>
      </c>
      <c r="W33" s="109" t="str">
        <f t="shared" si="24"/>
        <v/>
      </c>
      <c r="X33" s="110" t="str">
        <f t="shared" si="25"/>
        <v/>
      </c>
      <c r="Y33" s="103" t="str">
        <f t="shared" si="26"/>
        <v/>
      </c>
      <c r="Z33" s="111"/>
      <c r="AA33" s="112"/>
      <c r="AB33" s="113" t="str">
        <f t="shared" si="16"/>
        <v>-</v>
      </c>
      <c r="AC33" s="112"/>
      <c r="AD33" s="114"/>
      <c r="AE33" s="115"/>
      <c r="AF33" s="115"/>
      <c r="AG33" s="116"/>
      <c r="AH33" s="117"/>
      <c r="AI33" s="117"/>
      <c r="AJ33" s="342"/>
      <c r="AK33" s="343"/>
      <c r="AL33" s="346"/>
      <c r="AM33" s="347"/>
      <c r="AN33" s="118"/>
      <c r="AO33" s="101" t="str">
        <f t="shared" si="19"/>
        <v/>
      </c>
      <c r="AP33" s="113" t="str">
        <f t="shared" si="20"/>
        <v>-</v>
      </c>
      <c r="AQ33" s="119"/>
      <c r="AR33" s="103" t="str">
        <f t="shared" si="21"/>
        <v/>
      </c>
      <c r="AT33" s="38" t="str">
        <f t="shared" si="27"/>
        <v>B5</v>
      </c>
      <c r="AU33" s="38">
        <f t="shared" si="18"/>
        <v>0</v>
      </c>
      <c r="AY33" s="38" t="str">
        <f t="shared" si="1"/>
        <v/>
      </c>
      <c r="AZ33" s="38" t="str">
        <f t="shared" si="2"/>
        <v>0</v>
      </c>
      <c r="BA33" s="38" t="str">
        <f t="shared" si="3"/>
        <v>0</v>
      </c>
      <c r="BB33" s="38" t="str">
        <f t="shared" si="4"/>
        <v>0</v>
      </c>
      <c r="BC33" s="38">
        <f t="shared" si="5"/>
        <v>0</v>
      </c>
      <c r="BD33" s="38">
        <f t="shared" si="6"/>
        <v>0</v>
      </c>
      <c r="BL33" s="38" t="str">
        <f t="shared" si="7"/>
        <v/>
      </c>
      <c r="BM33" s="38" t="str">
        <f t="shared" si="8"/>
        <v/>
      </c>
      <c r="BN33" s="38" t="str">
        <f t="shared" si="9"/>
        <v/>
      </c>
      <c r="BO33" s="38" t="str">
        <f t="shared" si="10"/>
        <v/>
      </c>
      <c r="BP33" s="38" t="str">
        <f t="shared" si="11"/>
        <v/>
      </c>
      <c r="BQ33" s="38" t="str">
        <f t="shared" si="12"/>
        <v/>
      </c>
    </row>
    <row r="34" spans="1:69" ht="15.6" x14ac:dyDescent="0.3">
      <c r="A34" s="124" t="s">
        <v>265</v>
      </c>
      <c r="B34" s="397">
        <f>IF(ISBLANK(HLOOKUP($F$25,spelerslijsten!$B$1:$J$22,12,FALSE)),"",HLOOKUP($F$25,spelerslijsten!$B$1:$J$22,12,FALSE))</f>
        <v>6</v>
      </c>
      <c r="C34" s="398"/>
      <c r="D34" s="121"/>
      <c r="E34" s="122" t="str">
        <f>IF(ISBLANK(HLOOKUP($F$25,spelerslijsten!$B$1:$J$22,11,FALSE)),"",HLOOKUP($F$25,spelerslijsten!$B$1:$J$22,11,FALSE))</f>
        <v>Precilla Beune</v>
      </c>
      <c r="F34" s="12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08">
        <f t="shared" si="23"/>
        <v>0</v>
      </c>
      <c r="W34" s="109" t="str">
        <f t="shared" si="24"/>
        <v/>
      </c>
      <c r="X34" s="110" t="str">
        <f t="shared" si="25"/>
        <v/>
      </c>
      <c r="Y34" s="103" t="str">
        <f t="shared" si="26"/>
        <v/>
      </c>
      <c r="Z34" s="111"/>
      <c r="AA34" s="112"/>
      <c r="AB34" s="113" t="str">
        <f t="shared" si="16"/>
        <v>-</v>
      </c>
      <c r="AC34" s="112"/>
      <c r="AD34" s="114"/>
      <c r="AE34" s="115"/>
      <c r="AF34" s="115"/>
      <c r="AG34" s="116"/>
      <c r="AH34" s="117"/>
      <c r="AI34" s="117"/>
      <c r="AJ34" s="342"/>
      <c r="AK34" s="343"/>
      <c r="AL34" s="346"/>
      <c r="AM34" s="347"/>
      <c r="AN34" s="118"/>
      <c r="AO34" s="101" t="str">
        <f t="shared" si="19"/>
        <v/>
      </c>
      <c r="AP34" s="113" t="str">
        <f t="shared" si="20"/>
        <v>-</v>
      </c>
      <c r="AQ34" s="119"/>
      <c r="AR34" s="103" t="str">
        <f t="shared" si="21"/>
        <v/>
      </c>
      <c r="AT34" s="38" t="str">
        <f t="shared" si="27"/>
        <v>B6</v>
      </c>
      <c r="AU34" s="38">
        <f t="shared" si="18"/>
        <v>0</v>
      </c>
      <c r="AY34" s="38" t="str">
        <f t="shared" si="1"/>
        <v/>
      </c>
      <c r="AZ34" s="38" t="str">
        <f t="shared" si="2"/>
        <v>0</v>
      </c>
      <c r="BA34" s="38" t="str">
        <f t="shared" si="3"/>
        <v>0</v>
      </c>
      <c r="BB34" s="38" t="str">
        <f t="shared" si="4"/>
        <v>0</v>
      </c>
      <c r="BC34" s="38">
        <f t="shared" si="5"/>
        <v>0</v>
      </c>
      <c r="BD34" s="38">
        <f t="shared" si="6"/>
        <v>0</v>
      </c>
      <c r="BL34" s="38" t="str">
        <f t="shared" si="7"/>
        <v/>
      </c>
      <c r="BM34" s="38" t="str">
        <f t="shared" si="8"/>
        <v/>
      </c>
      <c r="BN34" s="38" t="str">
        <f t="shared" si="9"/>
        <v/>
      </c>
      <c r="BO34" s="38" t="str">
        <f t="shared" si="10"/>
        <v/>
      </c>
      <c r="BP34" s="38" t="str">
        <f t="shared" si="11"/>
        <v/>
      </c>
      <c r="BQ34" s="38" t="str">
        <f t="shared" si="12"/>
        <v/>
      </c>
    </row>
    <row r="35" spans="1:69" ht="15.6" x14ac:dyDescent="0.3">
      <c r="A35" s="124" t="s">
        <v>265</v>
      </c>
      <c r="B35" s="397">
        <f>IF(ISBLANK(HLOOKUP($F$25,spelerslijsten!$B$1:$J$22,14,FALSE)),"",HLOOKUP($F$25,spelerslijsten!$B$1:$J$22,14,FALSE))</f>
        <v>7</v>
      </c>
      <c r="C35" s="398"/>
      <c r="D35" s="121"/>
      <c r="E35" s="122" t="str">
        <f>IF(ISBLANK(HLOOKUP($F$25,spelerslijsten!$B$1:$J$22,13,FALSE)),"",HLOOKUP($F$25,spelerslijsten!$B$1:$J$22,13,FALSE))</f>
        <v>Timo Hazelhoff</v>
      </c>
      <c r="F35" s="12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08">
        <f t="shared" si="23"/>
        <v>0</v>
      </c>
      <c r="W35" s="109" t="str">
        <f t="shared" si="24"/>
        <v/>
      </c>
      <c r="X35" s="110" t="str">
        <f t="shared" si="25"/>
        <v/>
      </c>
      <c r="Y35" s="103" t="str">
        <f t="shared" si="26"/>
        <v/>
      </c>
      <c r="Z35" s="111"/>
      <c r="AA35" s="112"/>
      <c r="AB35" s="113" t="str">
        <f t="shared" si="16"/>
        <v>-</v>
      </c>
      <c r="AC35" s="112"/>
      <c r="AD35" s="114"/>
      <c r="AE35" s="115"/>
      <c r="AF35" s="115"/>
      <c r="AG35" s="116"/>
      <c r="AH35" s="117"/>
      <c r="AI35" s="117"/>
      <c r="AJ35" s="342"/>
      <c r="AK35" s="343"/>
      <c r="AL35" s="346"/>
      <c r="AM35" s="347"/>
      <c r="AN35" s="118"/>
      <c r="AO35" s="101" t="str">
        <f t="shared" si="19"/>
        <v/>
      </c>
      <c r="AP35" s="113" t="str">
        <f t="shared" si="20"/>
        <v>-</v>
      </c>
      <c r="AQ35" s="119"/>
      <c r="AR35" s="103" t="str">
        <f t="shared" si="21"/>
        <v/>
      </c>
      <c r="AT35" s="38" t="str">
        <f t="shared" si="27"/>
        <v>B7</v>
      </c>
      <c r="AU35" s="38">
        <f t="shared" si="18"/>
        <v>0</v>
      </c>
      <c r="AY35" s="38" t="str">
        <f t="shared" si="1"/>
        <v/>
      </c>
      <c r="AZ35" s="38" t="str">
        <f t="shared" si="2"/>
        <v>0</v>
      </c>
      <c r="BA35" s="38" t="str">
        <f t="shared" si="3"/>
        <v>0</v>
      </c>
      <c r="BB35" s="38" t="str">
        <f t="shared" si="4"/>
        <v>0</v>
      </c>
      <c r="BC35" s="38">
        <f t="shared" si="5"/>
        <v>0</v>
      </c>
      <c r="BD35" s="38">
        <f t="shared" si="6"/>
        <v>0</v>
      </c>
      <c r="BL35" s="38" t="str">
        <f t="shared" si="7"/>
        <v/>
      </c>
      <c r="BM35" s="38" t="str">
        <f t="shared" si="8"/>
        <v/>
      </c>
      <c r="BN35" s="38" t="str">
        <f t="shared" si="9"/>
        <v/>
      </c>
      <c r="BO35" s="38" t="str">
        <f t="shared" si="10"/>
        <v/>
      </c>
      <c r="BP35" s="38" t="str">
        <f t="shared" si="11"/>
        <v/>
      </c>
      <c r="BQ35" s="38" t="str">
        <f t="shared" si="12"/>
        <v/>
      </c>
    </row>
    <row r="36" spans="1:69" ht="15.6" x14ac:dyDescent="0.3">
      <c r="A36" s="124" t="s">
        <v>265</v>
      </c>
      <c r="B36" s="397">
        <f>IF(ISBLANK(HLOOKUP($F$25,spelerslijsten!$B$1:$J$22,16,FALSE)),"",HLOOKUP($F$25,spelerslijsten!$B$1:$J$22,16,FALSE))</f>
        <v>8</v>
      </c>
      <c r="C36" s="398"/>
      <c r="D36" s="121"/>
      <c r="E36" s="122" t="str">
        <f>IF(ISBLANK(HLOOKUP($F$25,spelerslijsten!$B$1:$J$22,15,FALSE)),"",HLOOKUP($F$25,spelerslijsten!$B$1:$J$22,15,FALSE))</f>
        <v>Mike Regtop</v>
      </c>
      <c r="F36" s="12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08">
        <f t="shared" si="23"/>
        <v>0</v>
      </c>
      <c r="W36" s="109" t="str">
        <f t="shared" si="24"/>
        <v/>
      </c>
      <c r="X36" s="110" t="str">
        <f t="shared" si="25"/>
        <v/>
      </c>
      <c r="Y36" s="103" t="str">
        <f t="shared" si="26"/>
        <v/>
      </c>
      <c r="Z36" s="111"/>
      <c r="AA36" s="112"/>
      <c r="AB36" s="113" t="str">
        <f t="shared" si="16"/>
        <v>-</v>
      </c>
      <c r="AC36" s="112"/>
      <c r="AD36" s="114"/>
      <c r="AE36" s="115"/>
      <c r="AF36" s="115"/>
      <c r="AG36" s="116"/>
      <c r="AH36" s="117"/>
      <c r="AI36" s="117"/>
      <c r="AJ36" s="342"/>
      <c r="AK36" s="343"/>
      <c r="AL36" s="346"/>
      <c r="AM36" s="347"/>
      <c r="AN36" s="118"/>
      <c r="AO36" s="101" t="str">
        <f t="shared" si="19"/>
        <v/>
      </c>
      <c r="AP36" s="113" t="str">
        <f t="shared" si="20"/>
        <v>-</v>
      </c>
      <c r="AQ36" s="119"/>
      <c r="AR36" s="103" t="str">
        <f t="shared" si="21"/>
        <v/>
      </c>
      <c r="AT36" s="38" t="str">
        <f t="shared" si="27"/>
        <v>B8</v>
      </c>
      <c r="AU36" s="38">
        <f t="shared" si="18"/>
        <v>0</v>
      </c>
      <c r="AY36" s="38" t="str">
        <f t="shared" si="1"/>
        <v/>
      </c>
      <c r="AZ36" s="38" t="str">
        <f t="shared" si="2"/>
        <v>0</v>
      </c>
      <c r="BA36" s="38" t="str">
        <f t="shared" si="3"/>
        <v>0</v>
      </c>
      <c r="BB36" s="38" t="str">
        <f t="shared" si="4"/>
        <v>0</v>
      </c>
      <c r="BC36" s="38">
        <f t="shared" si="5"/>
        <v>0</v>
      </c>
      <c r="BD36" s="38">
        <f t="shared" si="6"/>
        <v>0</v>
      </c>
      <c r="BL36" s="38" t="str">
        <f t="shared" si="7"/>
        <v/>
      </c>
      <c r="BM36" s="38" t="str">
        <f t="shared" si="8"/>
        <v/>
      </c>
      <c r="BN36" s="38" t="str">
        <f t="shared" si="9"/>
        <v/>
      </c>
      <c r="BO36" s="38" t="str">
        <f t="shared" si="10"/>
        <v/>
      </c>
      <c r="BP36" s="38" t="str">
        <f t="shared" si="11"/>
        <v/>
      </c>
      <c r="BQ36" s="38" t="str">
        <f t="shared" si="12"/>
        <v/>
      </c>
    </row>
    <row r="37" spans="1:69" ht="15.6" x14ac:dyDescent="0.3">
      <c r="A37" s="124"/>
      <c r="B37" s="397" t="str">
        <f>IF(ISBLANK(HLOOKUP($F$25,spelerslijsten!$B$1:$J$22,18,FALSE)),"",HLOOKUP($F$25,spelerslijsten!$B$1:$J$22,18,FALSE))</f>
        <v/>
      </c>
      <c r="C37" s="398"/>
      <c r="D37" s="121"/>
      <c r="E37" s="122" t="str">
        <f>IF(ISBLANK(HLOOKUP($F$25,spelerslijsten!$B$1:$J$22,17,FALSE)),"",HLOOKUP($F$25,spelerslijsten!$B$1:$J$22,17,FALSE))</f>
        <v/>
      </c>
      <c r="F37" s="12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08">
        <f t="shared" si="23"/>
        <v>0</v>
      </c>
      <c r="W37" s="109" t="str">
        <f t="shared" si="24"/>
        <v/>
      </c>
      <c r="X37" s="110" t="str">
        <f t="shared" si="25"/>
        <v/>
      </c>
      <c r="Y37" s="103" t="str">
        <f t="shared" si="26"/>
        <v/>
      </c>
      <c r="Z37" s="111"/>
      <c r="AA37" s="112"/>
      <c r="AB37" s="113" t="str">
        <f t="shared" si="16"/>
        <v>-</v>
      </c>
      <c r="AC37" s="112"/>
      <c r="AD37" s="114"/>
      <c r="AE37" s="115"/>
      <c r="AF37" s="115"/>
      <c r="AG37" s="116"/>
      <c r="AH37" s="117"/>
      <c r="AI37" s="117"/>
      <c r="AJ37" s="342"/>
      <c r="AK37" s="343"/>
      <c r="AL37" s="346"/>
      <c r="AM37" s="347"/>
      <c r="AN37" s="118"/>
      <c r="AO37" s="101" t="str">
        <f t="shared" si="19"/>
        <v/>
      </c>
      <c r="AP37" s="113" t="str">
        <f t="shared" si="20"/>
        <v>-</v>
      </c>
      <c r="AQ37" s="119"/>
      <c r="AR37" s="103" t="str">
        <f t="shared" si="21"/>
        <v/>
      </c>
      <c r="AT37" s="38" t="str">
        <f t="shared" si="27"/>
        <v>B</v>
      </c>
      <c r="AU37" s="38">
        <f t="shared" si="18"/>
        <v>0</v>
      </c>
      <c r="AY37" s="38" t="str">
        <f t="shared" si="1"/>
        <v/>
      </c>
      <c r="AZ37" s="38" t="str">
        <f t="shared" si="2"/>
        <v>0</v>
      </c>
      <c r="BA37" s="38" t="str">
        <f t="shared" si="3"/>
        <v>0</v>
      </c>
      <c r="BB37" s="38" t="str">
        <f t="shared" si="4"/>
        <v>0</v>
      </c>
      <c r="BC37" s="38">
        <f t="shared" si="5"/>
        <v>0</v>
      </c>
      <c r="BD37" s="38">
        <f t="shared" si="6"/>
        <v>0</v>
      </c>
      <c r="BL37" s="38" t="str">
        <f t="shared" si="7"/>
        <v/>
      </c>
      <c r="BM37" s="38" t="str">
        <f t="shared" si="8"/>
        <v/>
      </c>
      <c r="BN37" s="38" t="str">
        <f t="shared" si="9"/>
        <v/>
      </c>
      <c r="BO37" s="38" t="str">
        <f t="shared" si="10"/>
        <v/>
      </c>
      <c r="BP37" s="38" t="str">
        <f t="shared" si="11"/>
        <v/>
      </c>
      <c r="BQ37" s="38" t="str">
        <f t="shared" si="12"/>
        <v/>
      </c>
    </row>
    <row r="38" spans="1:69" ht="15.6" x14ac:dyDescent="0.3">
      <c r="A38" s="124"/>
      <c r="B38" s="397" t="str">
        <f>IF(ISBLANK(HLOOKUP($F$25,spelerslijsten!$B$1:$J$22,20,FALSE)),"",HLOOKUP($F$25,spelerslijsten!$B$1:$J$22,20,FALSE))</f>
        <v/>
      </c>
      <c r="C38" s="398"/>
      <c r="D38" s="121"/>
      <c r="E38" s="122" t="str">
        <f>IF(ISBLANK(HLOOKUP($F$25,spelerslijsten!$B$1:$J$22,19,FALSE)),"",HLOOKUP($F$25,spelerslijsten!$B$1:$J$22,19,FALSE))</f>
        <v/>
      </c>
      <c r="F38" s="12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08">
        <f t="shared" si="23"/>
        <v>0</v>
      </c>
      <c r="W38" s="109" t="str">
        <f t="shared" si="24"/>
        <v/>
      </c>
      <c r="X38" s="110" t="str">
        <f t="shared" si="25"/>
        <v/>
      </c>
      <c r="Y38" s="103" t="str">
        <f t="shared" si="26"/>
        <v/>
      </c>
      <c r="Z38" s="111"/>
      <c r="AA38" s="112"/>
      <c r="AB38" s="113" t="str">
        <f t="shared" si="16"/>
        <v>-</v>
      </c>
      <c r="AC38" s="112"/>
      <c r="AD38" s="114"/>
      <c r="AE38" s="115"/>
      <c r="AF38" s="115"/>
      <c r="AG38" s="116"/>
      <c r="AH38" s="117"/>
      <c r="AI38" s="117"/>
      <c r="AJ38" s="342"/>
      <c r="AK38" s="343"/>
      <c r="AL38" s="346"/>
      <c r="AM38" s="347"/>
      <c r="AN38" s="118"/>
      <c r="AO38" s="101" t="str">
        <f t="shared" si="19"/>
        <v/>
      </c>
      <c r="AP38" s="113" t="str">
        <f t="shared" si="20"/>
        <v>-</v>
      </c>
      <c r="AQ38" s="119"/>
      <c r="AR38" s="103" t="str">
        <f t="shared" si="21"/>
        <v/>
      </c>
      <c r="AT38" s="38" t="str">
        <f t="shared" si="27"/>
        <v>B</v>
      </c>
      <c r="AU38" s="38">
        <f t="shared" si="18"/>
        <v>0</v>
      </c>
      <c r="AY38" s="38" t="str">
        <f t="shared" si="1"/>
        <v/>
      </c>
      <c r="AZ38" s="38" t="str">
        <f t="shared" si="2"/>
        <v>0</v>
      </c>
      <c r="BA38" s="38" t="str">
        <f t="shared" si="3"/>
        <v>0</v>
      </c>
      <c r="BB38" s="38" t="str">
        <f t="shared" si="4"/>
        <v>0</v>
      </c>
      <c r="BC38" s="38">
        <f t="shared" si="5"/>
        <v>0</v>
      </c>
      <c r="BD38" s="38">
        <f t="shared" si="6"/>
        <v>0</v>
      </c>
      <c r="BL38" s="38" t="str">
        <f t="shared" si="7"/>
        <v/>
      </c>
      <c r="BM38" s="38" t="str">
        <f t="shared" si="8"/>
        <v/>
      </c>
      <c r="BN38" s="38" t="str">
        <f t="shared" si="9"/>
        <v/>
      </c>
      <c r="BO38" s="38" t="str">
        <f t="shared" si="10"/>
        <v/>
      </c>
      <c r="BP38" s="38" t="str">
        <f t="shared" si="11"/>
        <v/>
      </c>
      <c r="BQ38" s="38" t="str">
        <f t="shared" si="12"/>
        <v/>
      </c>
    </row>
    <row r="39" spans="1:69" ht="15.6" x14ac:dyDescent="0.3">
      <c r="A39" s="125"/>
      <c r="B39" s="397" t="str">
        <f>IF(ISBLANK(HLOOKUP($F$25,spelerslijsten!$B$1:$J$22,22,FALSE)),"",HLOOKUP($F$25,spelerslijsten!$B$1:$J$22,22,FALSE))</f>
        <v/>
      </c>
      <c r="C39" s="398"/>
      <c r="D39" s="126"/>
      <c r="E39" s="259" t="str">
        <f>IF(ISBLANK(HLOOKUP($F$25,spelerslijsten!$B$1:$J$22,21,FALSE)),"",HLOOKUP($F$25,spelerslijsten!$B$1:$J$22,21,FALSE))</f>
        <v/>
      </c>
      <c r="F39" s="126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08">
        <f t="shared" si="23"/>
        <v>0</v>
      </c>
      <c r="W39" s="109" t="str">
        <f t="shared" si="24"/>
        <v/>
      </c>
      <c r="X39" s="110" t="str">
        <f t="shared" si="25"/>
        <v/>
      </c>
      <c r="Y39" s="103" t="str">
        <f t="shared" si="26"/>
        <v/>
      </c>
      <c r="Z39" s="111"/>
      <c r="AA39" s="112"/>
      <c r="AB39" s="113" t="str">
        <f t="shared" si="16"/>
        <v>-</v>
      </c>
      <c r="AC39" s="112"/>
      <c r="AD39" s="114"/>
      <c r="AE39" s="115"/>
      <c r="AF39" s="115"/>
      <c r="AG39" s="116"/>
      <c r="AH39" s="117"/>
      <c r="AI39" s="117"/>
      <c r="AJ39" s="342"/>
      <c r="AK39" s="343"/>
      <c r="AL39" s="346"/>
      <c r="AM39" s="347"/>
      <c r="AN39" s="118"/>
      <c r="AO39" s="101" t="str">
        <f t="shared" si="19"/>
        <v/>
      </c>
      <c r="AP39" s="113" t="str">
        <f t="shared" si="20"/>
        <v>-</v>
      </c>
      <c r="AQ39" s="119"/>
      <c r="AR39" s="103" t="str">
        <f t="shared" si="21"/>
        <v/>
      </c>
      <c r="AT39" s="38" t="str">
        <f t="shared" si="27"/>
        <v>B</v>
      </c>
      <c r="AU39" s="38">
        <f t="shared" si="18"/>
        <v>0</v>
      </c>
      <c r="AY39" s="38" t="str">
        <f t="shared" si="1"/>
        <v/>
      </c>
      <c r="AZ39" s="38" t="str">
        <f t="shared" si="2"/>
        <v>0</v>
      </c>
      <c r="BA39" s="38" t="str">
        <f t="shared" si="3"/>
        <v>0</v>
      </c>
      <c r="BB39" s="38" t="str">
        <f t="shared" si="4"/>
        <v>0</v>
      </c>
      <c r="BC39" s="38">
        <f t="shared" si="5"/>
        <v>0</v>
      </c>
      <c r="BD39" s="38">
        <f t="shared" si="6"/>
        <v>0</v>
      </c>
      <c r="BL39" s="38" t="str">
        <f t="shared" si="7"/>
        <v/>
      </c>
      <c r="BM39" s="38" t="str">
        <f t="shared" si="8"/>
        <v/>
      </c>
      <c r="BN39" s="38" t="str">
        <f t="shared" si="9"/>
        <v/>
      </c>
      <c r="BO39" s="38" t="str">
        <f t="shared" si="10"/>
        <v/>
      </c>
      <c r="BP39" s="38" t="str">
        <f t="shared" si="11"/>
        <v/>
      </c>
      <c r="BQ39" s="38" t="str">
        <f t="shared" si="12"/>
        <v/>
      </c>
    </row>
    <row r="40" spans="1:69" ht="16.2" thickBot="1" x14ac:dyDescent="0.35">
      <c r="A40" s="71" t="s">
        <v>67</v>
      </c>
      <c r="B40" s="72"/>
      <c r="C40" s="72"/>
      <c r="D40" s="72"/>
      <c r="E40" s="72"/>
      <c r="F40" s="72"/>
      <c r="G40" s="72"/>
      <c r="H40" s="72"/>
      <c r="I40" s="399">
        <f>HLOOKUP(F25,spelerslijsten!B1:J25,25,FALSE)</f>
        <v>0</v>
      </c>
      <c r="J40" s="400"/>
      <c r="K40" s="74" t="s">
        <v>23</v>
      </c>
      <c r="L40" s="72"/>
      <c r="M40" s="72"/>
      <c r="N40" s="129" t="str">
        <f>HLOOKUP(F25,spelerslijsten!B1:J25,23,FALSE)</f>
        <v>Andre Buitink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30"/>
      <c r="Z40" s="111"/>
      <c r="AA40" s="112"/>
      <c r="AB40" s="113" t="str">
        <f t="shared" si="16"/>
        <v>-</v>
      </c>
      <c r="AC40" s="112"/>
      <c r="AD40" s="114"/>
      <c r="AE40" s="115"/>
      <c r="AF40" s="115"/>
      <c r="AG40" s="116"/>
      <c r="AH40" s="117"/>
      <c r="AI40" s="117"/>
      <c r="AJ40" s="342"/>
      <c r="AK40" s="343"/>
      <c r="AL40" s="346"/>
      <c r="AM40" s="347"/>
      <c r="AN40" s="118"/>
      <c r="AO40" s="101" t="str">
        <f t="shared" si="19"/>
        <v/>
      </c>
      <c r="AP40" s="113" t="str">
        <f t="shared" si="20"/>
        <v>-</v>
      </c>
      <c r="AQ40" s="119"/>
      <c r="AR40" s="103" t="str">
        <f t="shared" si="21"/>
        <v/>
      </c>
      <c r="AY40" s="38" t="str">
        <f t="shared" si="1"/>
        <v/>
      </c>
      <c r="AZ40" s="38" t="str">
        <f t="shared" si="2"/>
        <v>0</v>
      </c>
      <c r="BA40" s="38" t="str">
        <f t="shared" si="3"/>
        <v>0</v>
      </c>
      <c r="BB40" s="38" t="str">
        <f t="shared" si="4"/>
        <v>0</v>
      </c>
      <c r="BC40" s="38">
        <f t="shared" si="5"/>
        <v>0</v>
      </c>
      <c r="BD40" s="38">
        <f t="shared" si="6"/>
        <v>0</v>
      </c>
      <c r="BL40" s="38" t="str">
        <f t="shared" si="7"/>
        <v/>
      </c>
      <c r="BM40" s="38" t="str">
        <f t="shared" si="8"/>
        <v/>
      </c>
      <c r="BN40" s="38" t="str">
        <f t="shared" si="9"/>
        <v/>
      </c>
      <c r="BO40" s="38" t="str">
        <f t="shared" si="10"/>
        <v/>
      </c>
      <c r="BP40" s="38" t="str">
        <f t="shared" si="11"/>
        <v/>
      </c>
      <c r="BQ40" s="38" t="str">
        <f t="shared" si="12"/>
        <v/>
      </c>
    </row>
    <row r="41" spans="1:69" ht="15.6" x14ac:dyDescent="0.3">
      <c r="A41" s="157" t="s">
        <v>68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158"/>
      <c r="Z41" s="111"/>
      <c r="AA41" s="112"/>
      <c r="AB41" s="113" t="str">
        <f t="shared" si="16"/>
        <v>-</v>
      </c>
      <c r="AC41" s="112"/>
      <c r="AD41" s="114"/>
      <c r="AE41" s="115"/>
      <c r="AF41" s="115"/>
      <c r="AG41" s="116"/>
      <c r="AH41" s="117"/>
      <c r="AI41" s="117"/>
      <c r="AJ41" s="342"/>
      <c r="AK41" s="343"/>
      <c r="AL41" s="346"/>
      <c r="AM41" s="347"/>
      <c r="AN41" s="118"/>
      <c r="AO41" s="101" t="str">
        <f t="shared" si="19"/>
        <v/>
      </c>
      <c r="AP41" s="113" t="str">
        <f t="shared" si="20"/>
        <v>-</v>
      </c>
      <c r="AQ41" s="119"/>
      <c r="AR41" s="103" t="str">
        <f t="shared" si="21"/>
        <v/>
      </c>
      <c r="AY41" s="38" t="str">
        <f t="shared" si="1"/>
        <v/>
      </c>
      <c r="AZ41" s="38" t="str">
        <f t="shared" si="2"/>
        <v>0</v>
      </c>
      <c r="BA41" s="38" t="str">
        <f t="shared" si="3"/>
        <v>0</v>
      </c>
      <c r="BB41" s="38" t="str">
        <f t="shared" si="4"/>
        <v>0</v>
      </c>
      <c r="BC41" s="38">
        <f t="shared" si="5"/>
        <v>0</v>
      </c>
      <c r="BD41" s="38">
        <f t="shared" si="6"/>
        <v>0</v>
      </c>
      <c r="BL41" s="38" t="str">
        <f t="shared" si="7"/>
        <v/>
      </c>
      <c r="BM41" s="38" t="str">
        <f t="shared" si="8"/>
        <v/>
      </c>
      <c r="BN41" s="38" t="str">
        <f t="shared" si="9"/>
        <v/>
      </c>
      <c r="BO41" s="38" t="str">
        <f t="shared" si="10"/>
        <v/>
      </c>
      <c r="BP41" s="38" t="str">
        <f t="shared" si="11"/>
        <v/>
      </c>
      <c r="BQ41" s="38" t="str">
        <f t="shared" si="12"/>
        <v/>
      </c>
    </row>
    <row r="42" spans="1:69" ht="15.6" x14ac:dyDescent="0.3">
      <c r="A42" s="15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60"/>
      <c r="Z42" s="111"/>
      <c r="AA42" s="112"/>
      <c r="AB42" s="113" t="str">
        <f t="shared" si="16"/>
        <v>-</v>
      </c>
      <c r="AC42" s="112"/>
      <c r="AD42" s="114"/>
      <c r="AE42" s="115"/>
      <c r="AF42" s="115"/>
      <c r="AG42" s="116"/>
      <c r="AH42" s="117"/>
      <c r="AI42" s="117"/>
      <c r="AJ42" s="342"/>
      <c r="AK42" s="343"/>
      <c r="AL42" s="346"/>
      <c r="AM42" s="347"/>
      <c r="AN42" s="118"/>
      <c r="AO42" s="101" t="str">
        <f t="shared" si="19"/>
        <v/>
      </c>
      <c r="AP42" s="113" t="str">
        <f t="shared" si="20"/>
        <v>-</v>
      </c>
      <c r="AQ42" s="119"/>
      <c r="AR42" s="103" t="str">
        <f t="shared" si="21"/>
        <v/>
      </c>
      <c r="AY42" s="38" t="str">
        <f t="shared" si="1"/>
        <v/>
      </c>
      <c r="AZ42" s="38" t="str">
        <f t="shared" si="2"/>
        <v>0</v>
      </c>
      <c r="BA42" s="38" t="str">
        <f t="shared" si="3"/>
        <v>0</v>
      </c>
      <c r="BB42" s="38" t="str">
        <f t="shared" si="4"/>
        <v>0</v>
      </c>
      <c r="BC42" s="38">
        <f t="shared" si="5"/>
        <v>0</v>
      </c>
      <c r="BD42" s="38">
        <f t="shared" si="6"/>
        <v>0</v>
      </c>
      <c r="BL42" s="38" t="str">
        <f t="shared" si="7"/>
        <v/>
      </c>
      <c r="BM42" s="38" t="str">
        <f t="shared" si="8"/>
        <v/>
      </c>
      <c r="BN42" s="38" t="str">
        <f t="shared" si="9"/>
        <v/>
      </c>
      <c r="BO42" s="38" t="str">
        <f t="shared" si="10"/>
        <v/>
      </c>
      <c r="BP42" s="38" t="str">
        <f t="shared" si="11"/>
        <v/>
      </c>
      <c r="BQ42" s="38" t="str">
        <f t="shared" si="12"/>
        <v/>
      </c>
    </row>
    <row r="43" spans="1:69" ht="15.6" x14ac:dyDescent="0.3">
      <c r="A43" s="16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62"/>
      <c r="Z43" s="111"/>
      <c r="AA43" s="112"/>
      <c r="AB43" s="113" t="str">
        <f t="shared" si="16"/>
        <v>-</v>
      </c>
      <c r="AC43" s="112"/>
      <c r="AD43" s="114"/>
      <c r="AE43" s="115"/>
      <c r="AF43" s="115"/>
      <c r="AG43" s="116"/>
      <c r="AH43" s="117"/>
      <c r="AI43" s="117"/>
      <c r="AJ43" s="342"/>
      <c r="AK43" s="343"/>
      <c r="AL43" s="346"/>
      <c r="AM43" s="347"/>
      <c r="AN43" s="118"/>
      <c r="AO43" s="101" t="str">
        <f t="shared" si="19"/>
        <v/>
      </c>
      <c r="AP43" s="113" t="str">
        <f t="shared" si="20"/>
        <v>-</v>
      </c>
      <c r="AQ43" s="119"/>
      <c r="AR43" s="103" t="str">
        <f t="shared" si="21"/>
        <v/>
      </c>
      <c r="AY43" s="38" t="str">
        <f t="shared" si="1"/>
        <v/>
      </c>
      <c r="AZ43" s="38" t="str">
        <f t="shared" si="2"/>
        <v>0</v>
      </c>
      <c r="BA43" s="38" t="str">
        <f t="shared" si="3"/>
        <v>0</v>
      </c>
      <c r="BB43" s="38" t="str">
        <f t="shared" si="4"/>
        <v>0</v>
      </c>
      <c r="BC43" s="38">
        <f t="shared" si="5"/>
        <v>0</v>
      </c>
      <c r="BD43" s="38">
        <f t="shared" si="6"/>
        <v>0</v>
      </c>
      <c r="BL43" s="38" t="str">
        <f t="shared" si="7"/>
        <v/>
      </c>
      <c r="BM43" s="38" t="str">
        <f t="shared" si="8"/>
        <v/>
      </c>
      <c r="BN43" s="38" t="str">
        <f t="shared" si="9"/>
        <v/>
      </c>
      <c r="BO43" s="38" t="str">
        <f t="shared" si="10"/>
        <v/>
      </c>
      <c r="BP43" s="38" t="str">
        <f t="shared" si="11"/>
        <v/>
      </c>
      <c r="BQ43" s="38" t="str">
        <f t="shared" si="12"/>
        <v/>
      </c>
    </row>
    <row r="44" spans="1:69" ht="15.6" x14ac:dyDescent="0.3">
      <c r="A44" s="16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62"/>
      <c r="Z44" s="111"/>
      <c r="AA44" s="112"/>
      <c r="AB44" s="113" t="str">
        <f t="shared" si="16"/>
        <v>-</v>
      </c>
      <c r="AC44" s="112"/>
      <c r="AD44" s="114"/>
      <c r="AE44" s="115"/>
      <c r="AF44" s="115"/>
      <c r="AG44" s="116"/>
      <c r="AH44" s="117"/>
      <c r="AI44" s="117"/>
      <c r="AJ44" s="342"/>
      <c r="AK44" s="343"/>
      <c r="AL44" s="346"/>
      <c r="AM44" s="347"/>
      <c r="AN44" s="118"/>
      <c r="AO44" s="101" t="str">
        <f t="shared" si="19"/>
        <v/>
      </c>
      <c r="AP44" s="113" t="str">
        <f t="shared" si="20"/>
        <v>-</v>
      </c>
      <c r="AQ44" s="119"/>
      <c r="AR44" s="103" t="str">
        <f t="shared" si="21"/>
        <v/>
      </c>
      <c r="AY44" s="38" t="str">
        <f t="shared" si="1"/>
        <v/>
      </c>
      <c r="AZ44" s="38" t="str">
        <f t="shared" si="2"/>
        <v>0</v>
      </c>
      <c r="BA44" s="38" t="str">
        <f t="shared" si="3"/>
        <v>0</v>
      </c>
      <c r="BB44" s="38" t="str">
        <f t="shared" si="4"/>
        <v>0</v>
      </c>
      <c r="BC44" s="38">
        <f t="shared" si="5"/>
        <v>0</v>
      </c>
      <c r="BD44" s="38">
        <f t="shared" si="6"/>
        <v>0</v>
      </c>
      <c r="BL44" s="38" t="str">
        <f t="shared" si="7"/>
        <v/>
      </c>
      <c r="BM44" s="38" t="str">
        <f t="shared" si="8"/>
        <v/>
      </c>
      <c r="BN44" s="38" t="str">
        <f t="shared" si="9"/>
        <v/>
      </c>
      <c r="BO44" s="38" t="str">
        <f t="shared" si="10"/>
        <v/>
      </c>
      <c r="BP44" s="38" t="str">
        <f t="shared" si="11"/>
        <v/>
      </c>
      <c r="BQ44" s="38" t="str">
        <f t="shared" si="12"/>
        <v/>
      </c>
    </row>
    <row r="45" spans="1:69" ht="15.6" x14ac:dyDescent="0.3">
      <c r="A45" s="16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62"/>
      <c r="Z45" s="111"/>
      <c r="AA45" s="112"/>
      <c r="AB45" s="113" t="str">
        <f>+AB44</f>
        <v>-</v>
      </c>
      <c r="AC45" s="112"/>
      <c r="AD45" s="114"/>
      <c r="AE45" s="115"/>
      <c r="AF45" s="115"/>
      <c r="AG45" s="116"/>
      <c r="AH45" s="117"/>
      <c r="AI45" s="117"/>
      <c r="AJ45" s="342"/>
      <c r="AK45" s="343"/>
      <c r="AL45" s="346"/>
      <c r="AM45" s="347"/>
      <c r="AN45" s="118"/>
      <c r="AO45" s="101" t="str">
        <f t="shared" si="19"/>
        <v/>
      </c>
      <c r="AP45" s="113" t="str">
        <f t="shared" si="20"/>
        <v>-</v>
      </c>
      <c r="AQ45" s="119"/>
      <c r="AR45" s="103" t="str">
        <f t="shared" si="21"/>
        <v/>
      </c>
      <c r="AY45" s="38" t="str">
        <f t="shared" si="1"/>
        <v/>
      </c>
      <c r="AZ45" s="38" t="str">
        <f t="shared" si="2"/>
        <v>0</v>
      </c>
      <c r="BA45" s="38" t="str">
        <f t="shared" si="3"/>
        <v>0</v>
      </c>
      <c r="BB45" s="38" t="str">
        <f t="shared" si="4"/>
        <v>0</v>
      </c>
      <c r="BC45" s="38">
        <f t="shared" si="5"/>
        <v>0</v>
      </c>
      <c r="BD45" s="38">
        <f t="shared" si="6"/>
        <v>0</v>
      </c>
      <c r="BL45" s="38" t="str">
        <f t="shared" si="7"/>
        <v/>
      </c>
      <c r="BM45" s="38" t="str">
        <f t="shared" si="8"/>
        <v/>
      </c>
      <c r="BN45" s="38" t="str">
        <f t="shared" si="9"/>
        <v/>
      </c>
      <c r="BO45" s="38" t="str">
        <f t="shared" si="10"/>
        <v/>
      </c>
      <c r="BP45" s="38" t="str">
        <f t="shared" si="11"/>
        <v/>
      </c>
      <c r="BQ45" s="38" t="str">
        <f t="shared" si="12"/>
        <v/>
      </c>
    </row>
    <row r="46" spans="1:69" ht="16.2" thickBot="1" x14ac:dyDescent="0.35">
      <c r="A46" s="163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64"/>
      <c r="Z46" s="165"/>
      <c r="AA46" s="166"/>
      <c r="AB46" s="167" t="str">
        <f>+AB45</f>
        <v>-</v>
      </c>
      <c r="AC46" s="166"/>
      <c r="AD46" s="168"/>
      <c r="AE46" s="169"/>
      <c r="AF46" s="169"/>
      <c r="AG46" s="170"/>
      <c r="AH46" s="171"/>
      <c r="AI46" s="171"/>
      <c r="AJ46" s="344"/>
      <c r="AK46" s="345"/>
      <c r="AL46" s="352"/>
      <c r="AM46" s="353"/>
      <c r="AN46" s="172"/>
      <c r="AO46" s="101" t="str">
        <f t="shared" si="19"/>
        <v/>
      </c>
      <c r="AP46" s="113" t="str">
        <f t="shared" si="20"/>
        <v>-</v>
      </c>
      <c r="AQ46" s="119"/>
      <c r="AR46" s="103" t="str">
        <f t="shared" si="21"/>
        <v/>
      </c>
      <c r="AY46" s="38" t="str">
        <f t="shared" si="1"/>
        <v/>
      </c>
      <c r="AZ46" s="38" t="str">
        <f t="shared" si="2"/>
        <v>0</v>
      </c>
      <c r="BA46" s="38" t="str">
        <f t="shared" si="3"/>
        <v>0</v>
      </c>
      <c r="BB46" s="38" t="str">
        <f t="shared" si="4"/>
        <v>0</v>
      </c>
      <c r="BC46" s="38">
        <f t="shared" si="5"/>
        <v>0</v>
      </c>
      <c r="BD46" s="38">
        <f t="shared" si="6"/>
        <v>0</v>
      </c>
      <c r="BL46" s="38" t="str">
        <f t="shared" si="7"/>
        <v/>
      </c>
      <c r="BM46" s="38" t="str">
        <f t="shared" si="8"/>
        <v/>
      </c>
      <c r="BN46" s="38" t="str">
        <f t="shared" si="9"/>
        <v/>
      </c>
      <c r="BO46" s="38" t="str">
        <f t="shared" si="10"/>
        <v/>
      </c>
      <c r="BP46" s="38" t="str">
        <f t="shared" si="11"/>
        <v/>
      </c>
      <c r="BQ46" s="38" t="str">
        <f t="shared" si="12"/>
        <v/>
      </c>
    </row>
    <row r="47" spans="1:69" ht="18.600000000000001" thickBot="1" x14ac:dyDescent="0.35">
      <c r="A47" s="173" t="s">
        <v>69</v>
      </c>
      <c r="B47" s="174"/>
      <c r="C47" s="174"/>
      <c r="D47" s="174"/>
      <c r="E47" s="174"/>
      <c r="F47" s="174"/>
      <c r="G47" s="174">
        <f>IF(AO52&gt;AR52,AO52,IF(AO52=AR52,AO52,AR52))</f>
        <v>4</v>
      </c>
      <c r="H47" s="175" t="s">
        <v>16</v>
      </c>
      <c r="I47" s="174">
        <f>IF(AO52&gt;AR52,AR52,IF(AO52=AR52,AR52,AO52))</f>
        <v>3</v>
      </c>
      <c r="J47" s="174"/>
      <c r="K47" s="174" t="s">
        <v>70</v>
      </c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6" t="str">
        <f>BE52</f>
        <v>WIT</v>
      </c>
      <c r="W47" s="174"/>
      <c r="X47" s="174"/>
      <c r="Y47" s="174"/>
      <c r="Z47" s="174"/>
      <c r="AA47" s="174"/>
      <c r="AB47" s="174"/>
      <c r="AC47" s="174"/>
      <c r="AD47" s="177"/>
      <c r="AE47" s="178" t="s">
        <v>71</v>
      </c>
      <c r="AF47" s="179"/>
      <c r="AG47" s="179"/>
      <c r="AH47" s="179"/>
      <c r="AI47" s="179"/>
      <c r="AJ47" s="174"/>
      <c r="AK47" s="174"/>
      <c r="AL47" s="403" t="s">
        <v>177</v>
      </c>
      <c r="AM47" s="404"/>
      <c r="AN47" s="404"/>
      <c r="AO47" s="404"/>
      <c r="AP47" s="404"/>
      <c r="AQ47" s="404"/>
      <c r="AR47" s="405"/>
    </row>
    <row r="48" spans="1:69" x14ac:dyDescent="0.3">
      <c r="A48" s="180" t="s">
        <v>72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2"/>
      <c r="P48" s="183" t="s">
        <v>72</v>
      </c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2"/>
      <c r="AC48" s="181"/>
      <c r="AD48" s="184"/>
      <c r="AE48" s="185" t="s">
        <v>72</v>
      </c>
      <c r="AF48" s="186"/>
      <c r="AG48" s="186"/>
      <c r="AH48" s="186"/>
      <c r="AI48" s="186"/>
      <c r="AJ48" s="181"/>
      <c r="AK48" s="181"/>
      <c r="AL48" s="181"/>
      <c r="AM48" s="181"/>
      <c r="AN48" s="181"/>
      <c r="AO48" s="186"/>
      <c r="AP48" s="181"/>
      <c r="AQ48" s="181"/>
      <c r="AR48" s="187"/>
    </row>
    <row r="49" spans="1:57" x14ac:dyDescent="0.3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/>
      <c r="P49" s="191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90"/>
      <c r="AC49" s="189"/>
      <c r="AD49" s="192"/>
      <c r="AE49" s="193"/>
      <c r="AF49" s="193"/>
      <c r="AG49" s="193"/>
      <c r="AH49" s="193"/>
      <c r="AI49" s="193"/>
      <c r="AJ49" s="189"/>
      <c r="AK49" s="189"/>
      <c r="AL49" s="189"/>
      <c r="AM49" s="189"/>
      <c r="AN49" s="189"/>
      <c r="AO49" s="193"/>
      <c r="AP49" s="189"/>
      <c r="AQ49" s="189"/>
      <c r="AR49" s="194"/>
    </row>
    <row r="50" spans="1:57" ht="14.4" thickBot="1" x14ac:dyDescent="0.3">
      <c r="A50" s="195" t="s">
        <v>73</v>
      </c>
      <c r="B50" s="196"/>
      <c r="C50" s="196"/>
      <c r="D50" s="196"/>
      <c r="E50" s="196"/>
      <c r="F50" s="196"/>
      <c r="G50" s="196"/>
      <c r="H50" s="197" t="s">
        <v>74</v>
      </c>
      <c r="I50" s="196"/>
      <c r="J50" s="196"/>
      <c r="K50" s="196"/>
      <c r="L50" s="196"/>
      <c r="M50" s="196"/>
      <c r="N50" s="196"/>
      <c r="O50" s="198"/>
      <c r="P50" s="199" t="s">
        <v>73</v>
      </c>
      <c r="Q50" s="196"/>
      <c r="R50" s="196"/>
      <c r="S50" s="196"/>
      <c r="T50" s="196"/>
      <c r="U50" s="196"/>
      <c r="V50" s="196"/>
      <c r="W50" s="197" t="s">
        <v>75</v>
      </c>
      <c r="X50" s="196"/>
      <c r="Y50" s="196"/>
      <c r="Z50" s="196"/>
      <c r="AA50" s="196"/>
      <c r="AB50" s="198"/>
      <c r="AC50" s="196"/>
      <c r="AD50" s="200"/>
      <c r="AE50" s="201" t="s">
        <v>25</v>
      </c>
      <c r="AF50" s="202"/>
      <c r="AG50" s="202"/>
      <c r="AH50" s="202"/>
      <c r="AI50" s="202"/>
      <c r="AJ50" s="203"/>
      <c r="AK50" s="203"/>
      <c r="AL50" s="203"/>
      <c r="AM50" s="203"/>
      <c r="AN50" s="203"/>
      <c r="AO50" s="202"/>
      <c r="AP50" s="203"/>
      <c r="AQ50" s="203"/>
      <c r="AR50" s="204"/>
    </row>
    <row r="52" spans="1:57" hidden="1" x14ac:dyDescent="0.3">
      <c r="AO52" s="40">
        <f>IF(AO13="","",MAX(AO13:AO46))</f>
        <v>4</v>
      </c>
      <c r="AR52" s="40">
        <f>IF(AR13="","",MAX(AR13:AR46))</f>
        <v>3</v>
      </c>
      <c r="AS52" s="38" t="str">
        <f>IF(AO13="","0","1")</f>
        <v>1</v>
      </c>
      <c r="BE52" s="38" t="str">
        <f>IF(AS52="0","WIT/BLAUW",IF(AO52&gt;AR52,"WIT",IF(AO52=AR52,"GELIJK","BLAUW")))</f>
        <v>WIT</v>
      </c>
    </row>
  </sheetData>
  <sheetProtection sheet="1" objects="1" scenarios="1"/>
  <mergeCells count="107">
    <mergeCell ref="AJ46:AK46"/>
    <mergeCell ref="AL46:AM46"/>
    <mergeCell ref="AL47:AR47"/>
    <mergeCell ref="AJ43:AK43"/>
    <mergeCell ref="AL43:AM43"/>
    <mergeCell ref="AJ44:AK44"/>
    <mergeCell ref="AL44:AM44"/>
    <mergeCell ref="AJ45:AK45"/>
    <mergeCell ref="AL45:AM45"/>
    <mergeCell ref="I40:J40"/>
    <mergeCell ref="AJ40:AK40"/>
    <mergeCell ref="AL40:AM40"/>
    <mergeCell ref="AJ41:AK41"/>
    <mergeCell ref="AL41:AM41"/>
    <mergeCell ref="AJ42:AK42"/>
    <mergeCell ref="AL42:AM42"/>
    <mergeCell ref="B38:C38"/>
    <mergeCell ref="AJ38:AK38"/>
    <mergeCell ref="AL38:AM38"/>
    <mergeCell ref="B39:C39"/>
    <mergeCell ref="AJ39:AK39"/>
    <mergeCell ref="AL39:AM39"/>
    <mergeCell ref="B36:C36"/>
    <mergeCell ref="AJ36:AK36"/>
    <mergeCell ref="AL36:AM36"/>
    <mergeCell ref="B37:C37"/>
    <mergeCell ref="AJ37:AK37"/>
    <mergeCell ref="AL37:AM37"/>
    <mergeCell ref="B34:C34"/>
    <mergeCell ref="AJ34:AK34"/>
    <mergeCell ref="AL34:AM34"/>
    <mergeCell ref="B35:C35"/>
    <mergeCell ref="AJ35:AK35"/>
    <mergeCell ref="AL35:AM35"/>
    <mergeCell ref="B32:C32"/>
    <mergeCell ref="AJ32:AK32"/>
    <mergeCell ref="AL32:AM32"/>
    <mergeCell ref="B33:C33"/>
    <mergeCell ref="AJ33:AK33"/>
    <mergeCell ref="AL33:AM33"/>
    <mergeCell ref="AJ29:AK29"/>
    <mergeCell ref="AL29:AM29"/>
    <mergeCell ref="B30:C30"/>
    <mergeCell ref="AJ30:AK30"/>
    <mergeCell ref="AL30:AM30"/>
    <mergeCell ref="B31:C31"/>
    <mergeCell ref="AJ31:AK31"/>
    <mergeCell ref="AL31:AM31"/>
    <mergeCell ref="A26:D28"/>
    <mergeCell ref="AJ26:AK26"/>
    <mergeCell ref="AL26:AM26"/>
    <mergeCell ref="AJ27:AK27"/>
    <mergeCell ref="AL27:AM27"/>
    <mergeCell ref="AJ28:AK28"/>
    <mergeCell ref="AL28:AM28"/>
    <mergeCell ref="I24:J24"/>
    <mergeCell ref="AJ24:AK24"/>
    <mergeCell ref="AL24:AM24"/>
    <mergeCell ref="F25:Y28"/>
    <mergeCell ref="AJ25:AK25"/>
    <mergeCell ref="AL25:AM25"/>
    <mergeCell ref="B22:C22"/>
    <mergeCell ref="AJ22:AK22"/>
    <mergeCell ref="AL22:AM22"/>
    <mergeCell ref="B23:C23"/>
    <mergeCell ref="AJ23:AK23"/>
    <mergeCell ref="AL23:AM23"/>
    <mergeCell ref="B20:C20"/>
    <mergeCell ref="AJ20:AK20"/>
    <mergeCell ref="AL20:AM20"/>
    <mergeCell ref="B21:C21"/>
    <mergeCell ref="AJ21:AK21"/>
    <mergeCell ref="AL21:AM21"/>
    <mergeCell ref="B18:C18"/>
    <mergeCell ref="AJ18:AK18"/>
    <mergeCell ref="AL18:AM18"/>
    <mergeCell ref="B19:C19"/>
    <mergeCell ref="AJ19:AK19"/>
    <mergeCell ref="AL19:AM19"/>
    <mergeCell ref="B16:C16"/>
    <mergeCell ref="AJ16:AK16"/>
    <mergeCell ref="AL16:AM16"/>
    <mergeCell ref="B17:C17"/>
    <mergeCell ref="AJ17:AK17"/>
    <mergeCell ref="AL17:AM17"/>
    <mergeCell ref="AJ13:AK13"/>
    <mergeCell ref="AL13:AM13"/>
    <mergeCell ref="B14:C14"/>
    <mergeCell ref="AJ14:AK14"/>
    <mergeCell ref="AL14:AM14"/>
    <mergeCell ref="B15:C15"/>
    <mergeCell ref="AJ15:AK15"/>
    <mergeCell ref="AL15:AM15"/>
    <mergeCell ref="F10:Y12"/>
    <mergeCell ref="Z10:AD12"/>
    <mergeCell ref="AJ10:AK12"/>
    <mergeCell ref="AL10:AM12"/>
    <mergeCell ref="AN10:AR11"/>
    <mergeCell ref="A11:D12"/>
    <mergeCell ref="AN12:AO12"/>
    <mergeCell ref="AQ12:AR12"/>
    <mergeCell ref="D3:N3"/>
    <mergeCell ref="D4:E4"/>
    <mergeCell ref="G4:I4"/>
    <mergeCell ref="K4:M4"/>
    <mergeCell ref="BF4:BI6"/>
    <mergeCell ref="AH6:AR6"/>
  </mergeCells>
  <dataValidations count="1">
    <dataValidation type="list" allowBlank="1" showInputMessage="1" showErrorMessage="1" sqref="AL47:AR47" xr:uid="{BFA03394-90A1-481B-92BD-FEF467A4CD07}">
      <formula1>"JA/NEE,JA,NEE"</formula1>
    </dataValidation>
  </dataValidations>
  <hyperlinks>
    <hyperlink ref="BF4:BI6" location="Wedstrijden!A1" display="Wedstrijdschema" xr:uid="{384EFB82-322E-4D14-B1E4-11F266BB2ECB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0DAB-6944-4E9B-8E76-B7F4111360D8}">
  <dimension ref="A1:IV52"/>
  <sheetViews>
    <sheetView workbookViewId="0">
      <selection activeCell="BF4" sqref="BF4:BI6"/>
    </sheetView>
  </sheetViews>
  <sheetFormatPr defaultRowHeight="13.8" x14ac:dyDescent="0.3"/>
  <cols>
    <col min="1" max="6" width="2.33203125" style="38" customWidth="1"/>
    <col min="7" max="7" width="3.33203125" style="38" customWidth="1"/>
    <col min="8" max="8" width="2.33203125" style="38" customWidth="1"/>
    <col min="9" max="9" width="3.33203125" style="38" customWidth="1"/>
    <col min="10" max="25" width="2.33203125" style="38" customWidth="1"/>
    <col min="26" max="28" width="2.109375" style="38" customWidth="1"/>
    <col min="29" max="29" width="3" style="38" customWidth="1"/>
    <col min="30" max="30" width="2.109375" style="39" customWidth="1"/>
    <col min="31" max="35" width="2.33203125" style="40" customWidth="1"/>
    <col min="36" max="39" width="2.33203125" style="38" customWidth="1"/>
    <col min="40" max="40" width="2.109375" style="38" customWidth="1"/>
    <col min="41" max="41" width="3.33203125" style="40" customWidth="1"/>
    <col min="42" max="43" width="2.109375" style="38" customWidth="1"/>
    <col min="44" max="44" width="3.33203125" style="40" customWidth="1"/>
    <col min="45" max="45" width="8.88671875" style="38"/>
    <col min="46" max="56" width="9.109375" style="38" hidden="1" customWidth="1"/>
    <col min="57" max="62" width="8.88671875" style="38"/>
    <col min="63" max="69" width="0" style="38" hidden="1" customWidth="1"/>
    <col min="70" max="256" width="8.88671875" style="38"/>
    <col min="257" max="281" width="2.33203125" style="38" customWidth="1"/>
    <col min="282" max="286" width="2.109375" style="38" customWidth="1"/>
    <col min="287" max="295" width="2.33203125" style="38" customWidth="1"/>
    <col min="296" max="300" width="2.109375" style="38" customWidth="1"/>
    <col min="301" max="512" width="8.88671875" style="38"/>
    <col min="513" max="537" width="2.33203125" style="38" customWidth="1"/>
    <col min="538" max="542" width="2.109375" style="38" customWidth="1"/>
    <col min="543" max="551" width="2.33203125" style="38" customWidth="1"/>
    <col min="552" max="556" width="2.109375" style="38" customWidth="1"/>
    <col min="557" max="768" width="8.88671875" style="38"/>
    <col min="769" max="793" width="2.33203125" style="38" customWidth="1"/>
    <col min="794" max="798" width="2.109375" style="38" customWidth="1"/>
    <col min="799" max="807" width="2.33203125" style="38" customWidth="1"/>
    <col min="808" max="812" width="2.109375" style="38" customWidth="1"/>
    <col min="813" max="1024" width="8.88671875" style="38"/>
    <col min="1025" max="1049" width="2.33203125" style="38" customWidth="1"/>
    <col min="1050" max="1054" width="2.109375" style="38" customWidth="1"/>
    <col min="1055" max="1063" width="2.33203125" style="38" customWidth="1"/>
    <col min="1064" max="1068" width="2.109375" style="38" customWidth="1"/>
    <col min="1069" max="1280" width="8.88671875" style="38"/>
    <col min="1281" max="1305" width="2.33203125" style="38" customWidth="1"/>
    <col min="1306" max="1310" width="2.109375" style="38" customWidth="1"/>
    <col min="1311" max="1319" width="2.33203125" style="38" customWidth="1"/>
    <col min="1320" max="1324" width="2.109375" style="38" customWidth="1"/>
    <col min="1325" max="1536" width="8.88671875" style="38"/>
    <col min="1537" max="1561" width="2.33203125" style="38" customWidth="1"/>
    <col min="1562" max="1566" width="2.109375" style="38" customWidth="1"/>
    <col min="1567" max="1575" width="2.33203125" style="38" customWidth="1"/>
    <col min="1576" max="1580" width="2.109375" style="38" customWidth="1"/>
    <col min="1581" max="1792" width="8.88671875" style="38"/>
    <col min="1793" max="1817" width="2.33203125" style="38" customWidth="1"/>
    <col min="1818" max="1822" width="2.109375" style="38" customWidth="1"/>
    <col min="1823" max="1831" width="2.33203125" style="38" customWidth="1"/>
    <col min="1832" max="1836" width="2.109375" style="38" customWidth="1"/>
    <col min="1837" max="2048" width="8.88671875" style="38"/>
    <col min="2049" max="2073" width="2.33203125" style="38" customWidth="1"/>
    <col min="2074" max="2078" width="2.109375" style="38" customWidth="1"/>
    <col min="2079" max="2087" width="2.33203125" style="38" customWidth="1"/>
    <col min="2088" max="2092" width="2.109375" style="38" customWidth="1"/>
    <col min="2093" max="2304" width="8.88671875" style="38"/>
    <col min="2305" max="2329" width="2.33203125" style="38" customWidth="1"/>
    <col min="2330" max="2334" width="2.109375" style="38" customWidth="1"/>
    <col min="2335" max="2343" width="2.33203125" style="38" customWidth="1"/>
    <col min="2344" max="2348" width="2.109375" style="38" customWidth="1"/>
    <col min="2349" max="2560" width="8.88671875" style="38"/>
    <col min="2561" max="2585" width="2.33203125" style="38" customWidth="1"/>
    <col min="2586" max="2590" width="2.109375" style="38" customWidth="1"/>
    <col min="2591" max="2599" width="2.33203125" style="38" customWidth="1"/>
    <col min="2600" max="2604" width="2.109375" style="38" customWidth="1"/>
    <col min="2605" max="2816" width="8.88671875" style="38"/>
    <col min="2817" max="2841" width="2.33203125" style="38" customWidth="1"/>
    <col min="2842" max="2846" width="2.109375" style="38" customWidth="1"/>
    <col min="2847" max="2855" width="2.33203125" style="38" customWidth="1"/>
    <col min="2856" max="2860" width="2.109375" style="38" customWidth="1"/>
    <col min="2861" max="3072" width="8.88671875" style="38"/>
    <col min="3073" max="3097" width="2.33203125" style="38" customWidth="1"/>
    <col min="3098" max="3102" width="2.109375" style="38" customWidth="1"/>
    <col min="3103" max="3111" width="2.33203125" style="38" customWidth="1"/>
    <col min="3112" max="3116" width="2.109375" style="38" customWidth="1"/>
    <col min="3117" max="3328" width="8.88671875" style="38"/>
    <col min="3329" max="3353" width="2.33203125" style="38" customWidth="1"/>
    <col min="3354" max="3358" width="2.109375" style="38" customWidth="1"/>
    <col min="3359" max="3367" width="2.33203125" style="38" customWidth="1"/>
    <col min="3368" max="3372" width="2.109375" style="38" customWidth="1"/>
    <col min="3373" max="3584" width="8.88671875" style="38"/>
    <col min="3585" max="3609" width="2.33203125" style="38" customWidth="1"/>
    <col min="3610" max="3614" width="2.109375" style="38" customWidth="1"/>
    <col min="3615" max="3623" width="2.33203125" style="38" customWidth="1"/>
    <col min="3624" max="3628" width="2.109375" style="38" customWidth="1"/>
    <col min="3629" max="3840" width="8.88671875" style="38"/>
    <col min="3841" max="3865" width="2.33203125" style="38" customWidth="1"/>
    <col min="3866" max="3870" width="2.109375" style="38" customWidth="1"/>
    <col min="3871" max="3879" width="2.33203125" style="38" customWidth="1"/>
    <col min="3880" max="3884" width="2.109375" style="38" customWidth="1"/>
    <col min="3885" max="4096" width="8.88671875" style="38"/>
    <col min="4097" max="4121" width="2.33203125" style="38" customWidth="1"/>
    <col min="4122" max="4126" width="2.109375" style="38" customWidth="1"/>
    <col min="4127" max="4135" width="2.33203125" style="38" customWidth="1"/>
    <col min="4136" max="4140" width="2.109375" style="38" customWidth="1"/>
    <col min="4141" max="4352" width="8.88671875" style="38"/>
    <col min="4353" max="4377" width="2.33203125" style="38" customWidth="1"/>
    <col min="4378" max="4382" width="2.109375" style="38" customWidth="1"/>
    <col min="4383" max="4391" width="2.33203125" style="38" customWidth="1"/>
    <col min="4392" max="4396" width="2.109375" style="38" customWidth="1"/>
    <col min="4397" max="4608" width="8.88671875" style="38"/>
    <col min="4609" max="4633" width="2.33203125" style="38" customWidth="1"/>
    <col min="4634" max="4638" width="2.109375" style="38" customWidth="1"/>
    <col min="4639" max="4647" width="2.33203125" style="38" customWidth="1"/>
    <col min="4648" max="4652" width="2.109375" style="38" customWidth="1"/>
    <col min="4653" max="4864" width="8.88671875" style="38"/>
    <col min="4865" max="4889" width="2.33203125" style="38" customWidth="1"/>
    <col min="4890" max="4894" width="2.109375" style="38" customWidth="1"/>
    <col min="4895" max="4903" width="2.33203125" style="38" customWidth="1"/>
    <col min="4904" max="4908" width="2.109375" style="38" customWidth="1"/>
    <col min="4909" max="5120" width="8.88671875" style="38"/>
    <col min="5121" max="5145" width="2.33203125" style="38" customWidth="1"/>
    <col min="5146" max="5150" width="2.109375" style="38" customWidth="1"/>
    <col min="5151" max="5159" width="2.33203125" style="38" customWidth="1"/>
    <col min="5160" max="5164" width="2.109375" style="38" customWidth="1"/>
    <col min="5165" max="5376" width="8.88671875" style="38"/>
    <col min="5377" max="5401" width="2.33203125" style="38" customWidth="1"/>
    <col min="5402" max="5406" width="2.109375" style="38" customWidth="1"/>
    <col min="5407" max="5415" width="2.33203125" style="38" customWidth="1"/>
    <col min="5416" max="5420" width="2.109375" style="38" customWidth="1"/>
    <col min="5421" max="5632" width="8.88671875" style="38"/>
    <col min="5633" max="5657" width="2.33203125" style="38" customWidth="1"/>
    <col min="5658" max="5662" width="2.109375" style="38" customWidth="1"/>
    <col min="5663" max="5671" width="2.33203125" style="38" customWidth="1"/>
    <col min="5672" max="5676" width="2.109375" style="38" customWidth="1"/>
    <col min="5677" max="5888" width="8.88671875" style="38"/>
    <col min="5889" max="5913" width="2.33203125" style="38" customWidth="1"/>
    <col min="5914" max="5918" width="2.109375" style="38" customWidth="1"/>
    <col min="5919" max="5927" width="2.33203125" style="38" customWidth="1"/>
    <col min="5928" max="5932" width="2.109375" style="38" customWidth="1"/>
    <col min="5933" max="6144" width="8.88671875" style="38"/>
    <col min="6145" max="6169" width="2.33203125" style="38" customWidth="1"/>
    <col min="6170" max="6174" width="2.109375" style="38" customWidth="1"/>
    <col min="6175" max="6183" width="2.33203125" style="38" customWidth="1"/>
    <col min="6184" max="6188" width="2.109375" style="38" customWidth="1"/>
    <col min="6189" max="6400" width="8.88671875" style="38"/>
    <col min="6401" max="6425" width="2.33203125" style="38" customWidth="1"/>
    <col min="6426" max="6430" width="2.109375" style="38" customWidth="1"/>
    <col min="6431" max="6439" width="2.33203125" style="38" customWidth="1"/>
    <col min="6440" max="6444" width="2.109375" style="38" customWidth="1"/>
    <col min="6445" max="6656" width="8.88671875" style="38"/>
    <col min="6657" max="6681" width="2.33203125" style="38" customWidth="1"/>
    <col min="6682" max="6686" width="2.109375" style="38" customWidth="1"/>
    <col min="6687" max="6695" width="2.33203125" style="38" customWidth="1"/>
    <col min="6696" max="6700" width="2.109375" style="38" customWidth="1"/>
    <col min="6701" max="6912" width="8.88671875" style="38"/>
    <col min="6913" max="6937" width="2.33203125" style="38" customWidth="1"/>
    <col min="6938" max="6942" width="2.109375" style="38" customWidth="1"/>
    <col min="6943" max="6951" width="2.33203125" style="38" customWidth="1"/>
    <col min="6952" max="6956" width="2.109375" style="38" customWidth="1"/>
    <col min="6957" max="7168" width="8.88671875" style="38"/>
    <col min="7169" max="7193" width="2.33203125" style="38" customWidth="1"/>
    <col min="7194" max="7198" width="2.109375" style="38" customWidth="1"/>
    <col min="7199" max="7207" width="2.33203125" style="38" customWidth="1"/>
    <col min="7208" max="7212" width="2.109375" style="38" customWidth="1"/>
    <col min="7213" max="7424" width="8.88671875" style="38"/>
    <col min="7425" max="7449" width="2.33203125" style="38" customWidth="1"/>
    <col min="7450" max="7454" width="2.109375" style="38" customWidth="1"/>
    <col min="7455" max="7463" width="2.33203125" style="38" customWidth="1"/>
    <col min="7464" max="7468" width="2.109375" style="38" customWidth="1"/>
    <col min="7469" max="7680" width="8.88671875" style="38"/>
    <col min="7681" max="7705" width="2.33203125" style="38" customWidth="1"/>
    <col min="7706" max="7710" width="2.109375" style="38" customWidth="1"/>
    <col min="7711" max="7719" width="2.33203125" style="38" customWidth="1"/>
    <col min="7720" max="7724" width="2.109375" style="38" customWidth="1"/>
    <col min="7725" max="7936" width="8.88671875" style="38"/>
    <col min="7937" max="7961" width="2.33203125" style="38" customWidth="1"/>
    <col min="7962" max="7966" width="2.109375" style="38" customWidth="1"/>
    <col min="7967" max="7975" width="2.33203125" style="38" customWidth="1"/>
    <col min="7976" max="7980" width="2.109375" style="38" customWidth="1"/>
    <col min="7981" max="8192" width="8.88671875" style="38"/>
    <col min="8193" max="8217" width="2.33203125" style="38" customWidth="1"/>
    <col min="8218" max="8222" width="2.109375" style="38" customWidth="1"/>
    <col min="8223" max="8231" width="2.33203125" style="38" customWidth="1"/>
    <col min="8232" max="8236" width="2.109375" style="38" customWidth="1"/>
    <col min="8237" max="8448" width="8.88671875" style="38"/>
    <col min="8449" max="8473" width="2.33203125" style="38" customWidth="1"/>
    <col min="8474" max="8478" width="2.109375" style="38" customWidth="1"/>
    <col min="8479" max="8487" width="2.33203125" style="38" customWidth="1"/>
    <col min="8488" max="8492" width="2.109375" style="38" customWidth="1"/>
    <col min="8493" max="8704" width="8.88671875" style="38"/>
    <col min="8705" max="8729" width="2.33203125" style="38" customWidth="1"/>
    <col min="8730" max="8734" width="2.109375" style="38" customWidth="1"/>
    <col min="8735" max="8743" width="2.33203125" style="38" customWidth="1"/>
    <col min="8744" max="8748" width="2.109375" style="38" customWidth="1"/>
    <col min="8749" max="8960" width="8.88671875" style="38"/>
    <col min="8961" max="8985" width="2.33203125" style="38" customWidth="1"/>
    <col min="8986" max="8990" width="2.109375" style="38" customWidth="1"/>
    <col min="8991" max="8999" width="2.33203125" style="38" customWidth="1"/>
    <col min="9000" max="9004" width="2.109375" style="38" customWidth="1"/>
    <col min="9005" max="9216" width="8.88671875" style="38"/>
    <col min="9217" max="9241" width="2.33203125" style="38" customWidth="1"/>
    <col min="9242" max="9246" width="2.109375" style="38" customWidth="1"/>
    <col min="9247" max="9255" width="2.33203125" style="38" customWidth="1"/>
    <col min="9256" max="9260" width="2.109375" style="38" customWidth="1"/>
    <col min="9261" max="9472" width="8.88671875" style="38"/>
    <col min="9473" max="9497" width="2.33203125" style="38" customWidth="1"/>
    <col min="9498" max="9502" width="2.109375" style="38" customWidth="1"/>
    <col min="9503" max="9511" width="2.33203125" style="38" customWidth="1"/>
    <col min="9512" max="9516" width="2.109375" style="38" customWidth="1"/>
    <col min="9517" max="9728" width="8.88671875" style="38"/>
    <col min="9729" max="9753" width="2.33203125" style="38" customWidth="1"/>
    <col min="9754" max="9758" width="2.109375" style="38" customWidth="1"/>
    <col min="9759" max="9767" width="2.33203125" style="38" customWidth="1"/>
    <col min="9768" max="9772" width="2.109375" style="38" customWidth="1"/>
    <col min="9773" max="9984" width="8.88671875" style="38"/>
    <col min="9985" max="10009" width="2.33203125" style="38" customWidth="1"/>
    <col min="10010" max="10014" width="2.109375" style="38" customWidth="1"/>
    <col min="10015" max="10023" width="2.33203125" style="38" customWidth="1"/>
    <col min="10024" max="10028" width="2.109375" style="38" customWidth="1"/>
    <col min="10029" max="10240" width="8.88671875" style="38"/>
    <col min="10241" max="10265" width="2.33203125" style="38" customWidth="1"/>
    <col min="10266" max="10270" width="2.109375" style="38" customWidth="1"/>
    <col min="10271" max="10279" width="2.33203125" style="38" customWidth="1"/>
    <col min="10280" max="10284" width="2.109375" style="38" customWidth="1"/>
    <col min="10285" max="10496" width="8.88671875" style="38"/>
    <col min="10497" max="10521" width="2.33203125" style="38" customWidth="1"/>
    <col min="10522" max="10526" width="2.109375" style="38" customWidth="1"/>
    <col min="10527" max="10535" width="2.33203125" style="38" customWidth="1"/>
    <col min="10536" max="10540" width="2.109375" style="38" customWidth="1"/>
    <col min="10541" max="10752" width="8.88671875" style="38"/>
    <col min="10753" max="10777" width="2.33203125" style="38" customWidth="1"/>
    <col min="10778" max="10782" width="2.109375" style="38" customWidth="1"/>
    <col min="10783" max="10791" width="2.33203125" style="38" customWidth="1"/>
    <col min="10792" max="10796" width="2.109375" style="38" customWidth="1"/>
    <col min="10797" max="11008" width="8.88671875" style="38"/>
    <col min="11009" max="11033" width="2.33203125" style="38" customWidth="1"/>
    <col min="11034" max="11038" width="2.109375" style="38" customWidth="1"/>
    <col min="11039" max="11047" width="2.33203125" style="38" customWidth="1"/>
    <col min="11048" max="11052" width="2.109375" style="38" customWidth="1"/>
    <col min="11053" max="11264" width="8.88671875" style="38"/>
    <col min="11265" max="11289" width="2.33203125" style="38" customWidth="1"/>
    <col min="11290" max="11294" width="2.109375" style="38" customWidth="1"/>
    <col min="11295" max="11303" width="2.33203125" style="38" customWidth="1"/>
    <col min="11304" max="11308" width="2.109375" style="38" customWidth="1"/>
    <col min="11309" max="11520" width="8.88671875" style="38"/>
    <col min="11521" max="11545" width="2.33203125" style="38" customWidth="1"/>
    <col min="11546" max="11550" width="2.109375" style="38" customWidth="1"/>
    <col min="11551" max="11559" width="2.33203125" style="38" customWidth="1"/>
    <col min="11560" max="11564" width="2.109375" style="38" customWidth="1"/>
    <col min="11565" max="11776" width="8.88671875" style="38"/>
    <col min="11777" max="11801" width="2.33203125" style="38" customWidth="1"/>
    <col min="11802" max="11806" width="2.109375" style="38" customWidth="1"/>
    <col min="11807" max="11815" width="2.33203125" style="38" customWidth="1"/>
    <col min="11816" max="11820" width="2.109375" style="38" customWidth="1"/>
    <col min="11821" max="12032" width="8.88671875" style="38"/>
    <col min="12033" max="12057" width="2.33203125" style="38" customWidth="1"/>
    <col min="12058" max="12062" width="2.109375" style="38" customWidth="1"/>
    <col min="12063" max="12071" width="2.33203125" style="38" customWidth="1"/>
    <col min="12072" max="12076" width="2.109375" style="38" customWidth="1"/>
    <col min="12077" max="12288" width="8.88671875" style="38"/>
    <col min="12289" max="12313" width="2.33203125" style="38" customWidth="1"/>
    <col min="12314" max="12318" width="2.109375" style="38" customWidth="1"/>
    <col min="12319" max="12327" width="2.33203125" style="38" customWidth="1"/>
    <col min="12328" max="12332" width="2.109375" style="38" customWidth="1"/>
    <col min="12333" max="12544" width="8.88671875" style="38"/>
    <col min="12545" max="12569" width="2.33203125" style="38" customWidth="1"/>
    <col min="12570" max="12574" width="2.109375" style="38" customWidth="1"/>
    <col min="12575" max="12583" width="2.33203125" style="38" customWidth="1"/>
    <col min="12584" max="12588" width="2.109375" style="38" customWidth="1"/>
    <col min="12589" max="12800" width="8.88671875" style="38"/>
    <col min="12801" max="12825" width="2.33203125" style="38" customWidth="1"/>
    <col min="12826" max="12830" width="2.109375" style="38" customWidth="1"/>
    <col min="12831" max="12839" width="2.33203125" style="38" customWidth="1"/>
    <col min="12840" max="12844" width="2.109375" style="38" customWidth="1"/>
    <col min="12845" max="13056" width="8.88671875" style="38"/>
    <col min="13057" max="13081" width="2.33203125" style="38" customWidth="1"/>
    <col min="13082" max="13086" width="2.109375" style="38" customWidth="1"/>
    <col min="13087" max="13095" width="2.33203125" style="38" customWidth="1"/>
    <col min="13096" max="13100" width="2.109375" style="38" customWidth="1"/>
    <col min="13101" max="13312" width="8.88671875" style="38"/>
    <col min="13313" max="13337" width="2.33203125" style="38" customWidth="1"/>
    <col min="13338" max="13342" width="2.109375" style="38" customWidth="1"/>
    <col min="13343" max="13351" width="2.33203125" style="38" customWidth="1"/>
    <col min="13352" max="13356" width="2.109375" style="38" customWidth="1"/>
    <col min="13357" max="13568" width="8.88671875" style="38"/>
    <col min="13569" max="13593" width="2.33203125" style="38" customWidth="1"/>
    <col min="13594" max="13598" width="2.109375" style="38" customWidth="1"/>
    <col min="13599" max="13607" width="2.33203125" style="38" customWidth="1"/>
    <col min="13608" max="13612" width="2.109375" style="38" customWidth="1"/>
    <col min="13613" max="13824" width="8.88671875" style="38"/>
    <col min="13825" max="13849" width="2.33203125" style="38" customWidth="1"/>
    <col min="13850" max="13854" width="2.109375" style="38" customWidth="1"/>
    <col min="13855" max="13863" width="2.33203125" style="38" customWidth="1"/>
    <col min="13864" max="13868" width="2.109375" style="38" customWidth="1"/>
    <col min="13869" max="14080" width="8.88671875" style="38"/>
    <col min="14081" max="14105" width="2.33203125" style="38" customWidth="1"/>
    <col min="14106" max="14110" width="2.109375" style="38" customWidth="1"/>
    <col min="14111" max="14119" width="2.33203125" style="38" customWidth="1"/>
    <col min="14120" max="14124" width="2.109375" style="38" customWidth="1"/>
    <col min="14125" max="14336" width="8.88671875" style="38"/>
    <col min="14337" max="14361" width="2.33203125" style="38" customWidth="1"/>
    <col min="14362" max="14366" width="2.109375" style="38" customWidth="1"/>
    <col min="14367" max="14375" width="2.33203125" style="38" customWidth="1"/>
    <col min="14376" max="14380" width="2.109375" style="38" customWidth="1"/>
    <col min="14381" max="14592" width="8.88671875" style="38"/>
    <col min="14593" max="14617" width="2.33203125" style="38" customWidth="1"/>
    <col min="14618" max="14622" width="2.109375" style="38" customWidth="1"/>
    <col min="14623" max="14631" width="2.33203125" style="38" customWidth="1"/>
    <col min="14632" max="14636" width="2.109375" style="38" customWidth="1"/>
    <col min="14637" max="14848" width="8.88671875" style="38"/>
    <col min="14849" max="14873" width="2.33203125" style="38" customWidth="1"/>
    <col min="14874" max="14878" width="2.109375" style="38" customWidth="1"/>
    <col min="14879" max="14887" width="2.33203125" style="38" customWidth="1"/>
    <col min="14888" max="14892" width="2.109375" style="38" customWidth="1"/>
    <col min="14893" max="15104" width="8.88671875" style="38"/>
    <col min="15105" max="15129" width="2.33203125" style="38" customWidth="1"/>
    <col min="15130" max="15134" width="2.109375" style="38" customWidth="1"/>
    <col min="15135" max="15143" width="2.33203125" style="38" customWidth="1"/>
    <col min="15144" max="15148" width="2.109375" style="38" customWidth="1"/>
    <col min="15149" max="15360" width="8.88671875" style="38"/>
    <col min="15361" max="15385" width="2.33203125" style="38" customWidth="1"/>
    <col min="15386" max="15390" width="2.109375" style="38" customWidth="1"/>
    <col min="15391" max="15399" width="2.33203125" style="38" customWidth="1"/>
    <col min="15400" max="15404" width="2.109375" style="38" customWidth="1"/>
    <col min="15405" max="15616" width="8.88671875" style="38"/>
    <col min="15617" max="15641" width="2.33203125" style="38" customWidth="1"/>
    <col min="15642" max="15646" width="2.109375" style="38" customWidth="1"/>
    <col min="15647" max="15655" width="2.33203125" style="38" customWidth="1"/>
    <col min="15656" max="15660" width="2.109375" style="38" customWidth="1"/>
    <col min="15661" max="15872" width="8.88671875" style="38"/>
    <col min="15873" max="15897" width="2.33203125" style="38" customWidth="1"/>
    <col min="15898" max="15902" width="2.109375" style="38" customWidth="1"/>
    <col min="15903" max="15911" width="2.33203125" style="38" customWidth="1"/>
    <col min="15912" max="15916" width="2.109375" style="38" customWidth="1"/>
    <col min="15917" max="16128" width="8.88671875" style="38"/>
    <col min="16129" max="16153" width="2.33203125" style="38" customWidth="1"/>
    <col min="16154" max="16158" width="2.109375" style="38" customWidth="1"/>
    <col min="16159" max="16167" width="2.33203125" style="38" customWidth="1"/>
    <col min="16168" max="16172" width="2.109375" style="38" customWidth="1"/>
    <col min="16173" max="16384" width="8.88671875" style="38"/>
  </cols>
  <sheetData>
    <row r="1" spans="1:256" ht="20.399999999999999" x14ac:dyDescent="0.3">
      <c r="A1" s="37" t="s">
        <v>40</v>
      </c>
      <c r="AO1" s="41">
        <v>0</v>
      </c>
      <c r="AP1" s="42"/>
      <c r="AQ1" s="42"/>
      <c r="AR1" s="41">
        <v>0</v>
      </c>
      <c r="AV1" s="43">
        <v>1.3888888888888888E-2</v>
      </c>
    </row>
    <row r="2" spans="1:256" x14ac:dyDescent="0.3">
      <c r="A2" s="38" t="s">
        <v>42</v>
      </c>
      <c r="E2" s="38" t="s">
        <v>76</v>
      </c>
      <c r="P2" s="44" t="s">
        <v>22</v>
      </c>
      <c r="Q2" s="45"/>
      <c r="R2" s="45"/>
      <c r="S2" s="45"/>
      <c r="T2" s="45"/>
      <c r="U2" s="45"/>
      <c r="V2" s="45"/>
      <c r="W2" s="45" t="s">
        <v>3</v>
      </c>
      <c r="X2" s="45"/>
      <c r="Y2" s="46" t="s">
        <v>41</v>
      </c>
      <c r="Z2" s="45"/>
      <c r="AA2" s="45"/>
      <c r="AB2" s="45"/>
      <c r="AC2" s="45"/>
      <c r="AD2" s="47"/>
      <c r="AE2" s="48"/>
      <c r="AF2" s="48"/>
      <c r="AG2" s="49"/>
    </row>
    <row r="3" spans="1:256" ht="15" thickBot="1" x14ac:dyDescent="0.35">
      <c r="A3" s="38" t="s">
        <v>19</v>
      </c>
      <c r="D3" s="415">
        <f>Wedstrijden!I2</f>
        <v>45732</v>
      </c>
      <c r="E3" s="416"/>
      <c r="F3" s="416"/>
      <c r="G3" s="416"/>
      <c r="H3" s="416"/>
      <c r="I3" s="416"/>
      <c r="J3" s="416"/>
      <c r="K3" s="416"/>
      <c r="L3" s="416"/>
      <c r="M3" s="416"/>
      <c r="N3" s="417"/>
      <c r="P3" s="50" t="s">
        <v>18</v>
      </c>
      <c r="Q3" s="51" t="s">
        <v>43</v>
      </c>
      <c r="W3" s="38" t="s">
        <v>0</v>
      </c>
      <c r="Y3" s="51" t="s">
        <v>44</v>
      </c>
      <c r="AG3" s="52"/>
    </row>
    <row r="4" spans="1:256" x14ac:dyDescent="0.3">
      <c r="A4" s="38" t="s">
        <v>20</v>
      </c>
      <c r="D4" s="418">
        <v>17</v>
      </c>
      <c r="E4" s="418"/>
      <c r="F4" s="53"/>
      <c r="G4" s="419">
        <f>VLOOKUP(D4,Wedstrijden!A6:B57,2,0)</f>
        <v>0.67361111111111116</v>
      </c>
      <c r="H4" s="419"/>
      <c r="I4" s="419"/>
      <c r="J4" s="54" t="s">
        <v>16</v>
      </c>
      <c r="K4" s="419">
        <f>G4+AV1</f>
        <v>0.6875</v>
      </c>
      <c r="L4" s="419"/>
      <c r="M4" s="419"/>
      <c r="N4" s="53"/>
      <c r="P4" s="50" t="s">
        <v>17</v>
      </c>
      <c r="Q4" s="51" t="s">
        <v>45</v>
      </c>
      <c r="W4" s="38" t="s">
        <v>9</v>
      </c>
      <c r="Y4" s="51" t="s">
        <v>46</v>
      </c>
      <c r="AG4" s="52"/>
      <c r="BF4" s="406" t="s">
        <v>102</v>
      </c>
      <c r="BG4" s="407"/>
      <c r="BH4" s="407"/>
      <c r="BI4" s="408"/>
    </row>
    <row r="5" spans="1:256" x14ac:dyDescent="0.3">
      <c r="A5" s="38" t="s">
        <v>164</v>
      </c>
      <c r="D5" s="260" t="str">
        <f>VLOOKUP(D4,Wedstrijden!A6:D33,4,0)</f>
        <v>B</v>
      </c>
      <c r="P5" s="50" t="s">
        <v>10</v>
      </c>
      <c r="Q5" s="51" t="s">
        <v>47</v>
      </c>
      <c r="W5" s="38" t="s">
        <v>12</v>
      </c>
      <c r="Y5" s="51" t="s">
        <v>48</v>
      </c>
      <c r="AG5" s="52"/>
      <c r="BF5" s="409"/>
      <c r="BG5" s="410"/>
      <c r="BH5" s="410"/>
      <c r="BI5" s="411"/>
    </row>
    <row r="6" spans="1:256" ht="14.4" thickBot="1" x14ac:dyDescent="0.2">
      <c r="A6" s="38" t="s">
        <v>21</v>
      </c>
      <c r="D6" s="55" t="str">
        <f>Wedstrijden!K2</f>
        <v>Den Bosch</v>
      </c>
      <c r="P6" s="50" t="s">
        <v>11</v>
      </c>
      <c r="Q6" s="51" t="s">
        <v>49</v>
      </c>
      <c r="W6" s="38" t="s">
        <v>13</v>
      </c>
      <c r="Y6" s="51" t="s">
        <v>50</v>
      </c>
      <c r="AG6" s="52"/>
      <c r="AH6" s="354" t="s">
        <v>51</v>
      </c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BF6" s="412"/>
      <c r="BG6" s="413"/>
      <c r="BH6" s="413"/>
      <c r="BI6" s="414"/>
    </row>
    <row r="7" spans="1:256" x14ac:dyDescent="0.2">
      <c r="A7" s="56" t="s">
        <v>52</v>
      </c>
      <c r="B7" s="57"/>
      <c r="C7" s="57"/>
      <c r="D7" s="57"/>
      <c r="E7" s="58" t="s">
        <v>53</v>
      </c>
      <c r="F7" s="57"/>
      <c r="G7" s="59" t="str">
        <f>VLOOKUP(D4,Wedstrijden!A6:L57,5,0)</f>
        <v>VZ&amp;PC Nautilus 1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 t="s">
        <v>54</v>
      </c>
      <c r="X7" s="57"/>
      <c r="Y7" s="57"/>
      <c r="Z7" s="58" t="s">
        <v>55</v>
      </c>
      <c r="AA7" s="58"/>
      <c r="AB7" s="57"/>
      <c r="AC7" s="59" t="str">
        <f>VLOOKUP(D4,Wedstrijden!A6:L57,9,0)</f>
        <v>VZ&amp;PC Nautilus 2</v>
      </c>
      <c r="AD7" s="60"/>
      <c r="AE7" s="61"/>
      <c r="AF7" s="61"/>
      <c r="AG7" s="61"/>
      <c r="AH7" s="61"/>
      <c r="AI7" s="61"/>
      <c r="AJ7" s="57"/>
      <c r="AK7" s="57"/>
      <c r="AL7" s="57"/>
      <c r="AM7" s="57"/>
      <c r="AN7" s="57"/>
      <c r="AO7" s="61"/>
      <c r="AP7" s="57"/>
      <c r="AQ7" s="57"/>
      <c r="AR7" s="62"/>
    </row>
    <row r="8" spans="1:256" x14ac:dyDescent="0.3">
      <c r="A8" s="63" t="s">
        <v>56</v>
      </c>
      <c r="B8" s="64"/>
      <c r="C8" s="64"/>
      <c r="D8" s="64"/>
      <c r="E8" s="64"/>
      <c r="F8" s="64"/>
      <c r="G8" s="64"/>
      <c r="H8" s="64"/>
      <c r="I8" s="64"/>
      <c r="J8" s="65" t="str">
        <f>VLOOKUP(D4,Wedstrijden!A6:P343,13,0)</f>
        <v>Hans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 t="s">
        <v>57</v>
      </c>
      <c r="X8" s="64"/>
      <c r="Y8" s="64"/>
      <c r="Z8" s="66" t="str">
        <f>VLOOKUP(D4,Wedstrijden!A6:N170,14,0)</f>
        <v>Kiki</v>
      </c>
      <c r="AA8" s="64"/>
      <c r="AB8" s="64"/>
      <c r="AC8" s="64"/>
      <c r="AD8" s="67"/>
      <c r="AE8" s="68"/>
      <c r="AF8" s="68"/>
      <c r="AG8" s="68"/>
      <c r="AH8" s="68"/>
      <c r="AI8" s="68"/>
      <c r="AJ8" s="69" t="s">
        <v>17</v>
      </c>
      <c r="AK8" s="64"/>
      <c r="AL8" s="64"/>
      <c r="AM8" s="64"/>
      <c r="AN8" s="64"/>
      <c r="AO8" s="68"/>
      <c r="AP8" s="64"/>
      <c r="AQ8" s="64"/>
      <c r="AR8" s="70"/>
    </row>
    <row r="9" spans="1:256" ht="14.4" thickBot="1" x14ac:dyDescent="0.35">
      <c r="A9" s="71" t="s">
        <v>58</v>
      </c>
      <c r="B9" s="72"/>
      <c r="C9" s="72"/>
      <c r="D9" s="72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 t="s">
        <v>59</v>
      </c>
      <c r="X9" s="72"/>
      <c r="Y9" s="72"/>
      <c r="Z9" s="72"/>
      <c r="AA9" s="72"/>
      <c r="AB9" s="73"/>
      <c r="AC9" s="73"/>
      <c r="AD9" s="75"/>
      <c r="AE9" s="76"/>
      <c r="AF9" s="76"/>
      <c r="AG9" s="76"/>
      <c r="AH9" s="76"/>
      <c r="AI9" s="76"/>
      <c r="AJ9" s="73"/>
      <c r="AK9" s="73"/>
      <c r="AL9" s="73"/>
      <c r="AM9" s="73"/>
      <c r="AN9" s="73"/>
      <c r="AO9" s="76"/>
      <c r="AP9" s="73"/>
      <c r="AQ9" s="73"/>
      <c r="AR9" s="77"/>
    </row>
    <row r="10" spans="1:256" ht="15" x14ac:dyDescent="0.3">
      <c r="A10" s="78" t="s">
        <v>60</v>
      </c>
      <c r="B10" s="79"/>
      <c r="C10" s="79"/>
      <c r="D10" s="79"/>
      <c r="E10" s="79"/>
      <c r="F10" s="356" t="str">
        <f>+G7</f>
        <v>VZ&amp;PC Nautilus 1</v>
      </c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7"/>
      <c r="Z10" s="362" t="s">
        <v>8</v>
      </c>
      <c r="AA10" s="363"/>
      <c r="AB10" s="363"/>
      <c r="AC10" s="363"/>
      <c r="AD10" s="364"/>
      <c r="AE10" s="80"/>
      <c r="AF10" s="80"/>
      <c r="AG10" s="80"/>
      <c r="AH10" s="80" t="s">
        <v>61</v>
      </c>
      <c r="AI10" s="80" t="s">
        <v>61</v>
      </c>
      <c r="AJ10" s="371" t="s">
        <v>14</v>
      </c>
      <c r="AK10" s="372"/>
      <c r="AL10" s="377" t="s">
        <v>62</v>
      </c>
      <c r="AM10" s="378"/>
      <c r="AN10" s="383" t="s">
        <v>15</v>
      </c>
      <c r="AO10" s="384"/>
      <c r="AP10" s="384"/>
      <c r="AQ10" s="384"/>
      <c r="AR10" s="385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2" t="s">
        <v>136</v>
      </c>
      <c r="BL10" s="82" t="str">
        <f>CONCATENATE($BL$12&amp;BK10&amp;"x")</f>
        <v>swwx</v>
      </c>
      <c r="BM10" s="82" t="str">
        <f>CONCATENATE($BM$12&amp;BK10&amp;"x")</f>
        <v>dwx</v>
      </c>
      <c r="BN10" s="82" t="str">
        <f>CONCATENATE($BN$12&amp;BK10&amp;"x")</f>
        <v>pwx</v>
      </c>
      <c r="BO10" s="82" t="str">
        <f>CONCATENATE($BO$12&amp;BK10&amp;"x")</f>
        <v>umvwx</v>
      </c>
      <c r="BP10" s="82" t="str">
        <f>CONCATENATE($BP$12&amp;BK10&amp;"x")</f>
        <v>uzvwx</v>
      </c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1" spans="1:256" x14ac:dyDescent="0.3">
      <c r="A11" s="393" t="s">
        <v>7</v>
      </c>
      <c r="B11" s="394"/>
      <c r="C11" s="394"/>
      <c r="D11" s="394"/>
      <c r="E11" s="81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  <c r="Z11" s="365"/>
      <c r="AA11" s="366"/>
      <c r="AB11" s="366"/>
      <c r="AC11" s="366"/>
      <c r="AD11" s="367"/>
      <c r="AE11" s="83" t="s">
        <v>63</v>
      </c>
      <c r="AF11" s="83"/>
      <c r="AG11" s="83"/>
      <c r="AH11" s="83" t="s">
        <v>64</v>
      </c>
      <c r="AI11" s="83" t="s">
        <v>65</v>
      </c>
      <c r="AJ11" s="373"/>
      <c r="AK11" s="374"/>
      <c r="AL11" s="379"/>
      <c r="AM11" s="380"/>
      <c r="AN11" s="386"/>
      <c r="AO11" s="387"/>
      <c r="AP11" s="387"/>
      <c r="AQ11" s="387"/>
      <c r="AR11" s="388"/>
      <c r="AS11" s="81"/>
      <c r="AT11" s="81"/>
      <c r="AU11" s="81" t="s">
        <v>17</v>
      </c>
      <c r="AV11" s="81" t="s">
        <v>18</v>
      </c>
      <c r="AW11" s="81" t="s">
        <v>77</v>
      </c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2" t="s">
        <v>142</v>
      </c>
      <c r="BL11" s="82" t="str">
        <f>CONCATENATE($BL$12&amp;BK11&amp;"x")</f>
        <v>swbx</v>
      </c>
      <c r="BM11" s="82" t="str">
        <f>CONCATENATE($BM$12&amp;BK11&amp;"x")</f>
        <v>dbx</v>
      </c>
      <c r="BN11" s="82" t="str">
        <f>CONCATENATE($BN$12&amp;BK11&amp;"x")</f>
        <v>pbx</v>
      </c>
      <c r="BO11" s="82" t="str">
        <f>CONCATENATE($BO$12&amp;BK11&amp;"x")</f>
        <v>umvbx</v>
      </c>
      <c r="BP11" s="82" t="str">
        <f>CONCATENATE($BP$12&amp;BK11&amp;"x")</f>
        <v>uzvbx</v>
      </c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</row>
    <row r="12" spans="1:256" ht="18" x14ac:dyDescent="0.35">
      <c r="A12" s="395"/>
      <c r="B12" s="396"/>
      <c r="C12" s="396"/>
      <c r="D12" s="394"/>
      <c r="E12" s="81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1"/>
      <c r="Z12" s="368"/>
      <c r="AA12" s="369"/>
      <c r="AB12" s="369"/>
      <c r="AC12" s="369"/>
      <c r="AD12" s="370"/>
      <c r="AE12" s="84" t="s">
        <v>17</v>
      </c>
      <c r="AF12" s="84" t="s">
        <v>10</v>
      </c>
      <c r="AG12" s="84" t="s">
        <v>11</v>
      </c>
      <c r="AH12" s="84" t="s">
        <v>66</v>
      </c>
      <c r="AI12" s="84" t="s">
        <v>66</v>
      </c>
      <c r="AJ12" s="375"/>
      <c r="AK12" s="376"/>
      <c r="AL12" s="381"/>
      <c r="AM12" s="382"/>
      <c r="AN12" s="389" t="s">
        <v>17</v>
      </c>
      <c r="AO12" s="369"/>
      <c r="AP12" s="85"/>
      <c r="AQ12" s="369" t="s">
        <v>18</v>
      </c>
      <c r="AR12" s="390"/>
      <c r="AS12" s="81"/>
      <c r="AT12" s="81"/>
      <c r="AU12" s="81" t="s">
        <v>78</v>
      </c>
      <c r="AV12" s="81" t="s">
        <v>79</v>
      </c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 t="s">
        <v>138</v>
      </c>
      <c r="BM12" s="81" t="s">
        <v>139</v>
      </c>
      <c r="BN12" s="81" t="s">
        <v>79</v>
      </c>
      <c r="BO12" s="81" t="s">
        <v>140</v>
      </c>
      <c r="BP12" s="81" t="s">
        <v>141</v>
      </c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</row>
    <row r="13" spans="1:256" ht="15.6" x14ac:dyDescent="0.3">
      <c r="A13" s="86" t="s">
        <v>0</v>
      </c>
      <c r="B13" s="87" t="s">
        <v>1</v>
      </c>
      <c r="C13" s="88"/>
      <c r="D13" s="89"/>
      <c r="E13" s="88" t="s">
        <v>2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90"/>
      <c r="V13" s="91" t="s">
        <v>3</v>
      </c>
      <c r="W13" s="91" t="s">
        <v>4</v>
      </c>
      <c r="X13" s="91" t="s">
        <v>5</v>
      </c>
      <c r="Y13" s="92" t="s">
        <v>6</v>
      </c>
      <c r="Z13" s="93"/>
      <c r="AA13" s="94">
        <v>8</v>
      </c>
      <c r="AB13" s="95" t="s">
        <v>16</v>
      </c>
      <c r="AC13" s="94">
        <v>3</v>
      </c>
      <c r="AD13" s="96">
        <v>3</v>
      </c>
      <c r="AE13" s="97"/>
      <c r="AF13" s="97"/>
      <c r="AG13" s="98" t="s">
        <v>265</v>
      </c>
      <c r="AH13" s="99"/>
      <c r="AI13" s="99"/>
      <c r="AJ13" s="391" t="s">
        <v>18</v>
      </c>
      <c r="AK13" s="392"/>
      <c r="AL13" s="401">
        <v>7</v>
      </c>
      <c r="AM13" s="402"/>
      <c r="AN13" s="100"/>
      <c r="AO13" s="101">
        <f>IF(BQ13="","",IF(BQ13=$BL$10,"2"+AO1,IF(BQ13=$BM$10,"1"+AO1,IF(BQ13=$BN$10,"0"+AO1,IF(BQ13=$BO$10,"0"+AO1,IF(BQ13=$BP$10,"0"+AO1,"0"+AO1))))))</f>
        <v>0</v>
      </c>
      <c r="AP13" s="95" t="s">
        <v>16</v>
      </c>
      <c r="AQ13" s="102"/>
      <c r="AR13" s="103">
        <f>IF(BQ13="","",IF(BQ13=$BL$11,"2"+AR1,IF(BQ13=$BM$11,"1"+AR1,IF(BQ13=$BN$11,"0"+AR1,IF(BQ13=$BO$11,"0"+AR1,IF(BQ13=$BP$11,"0"+AR1,"0"+AR1))))))</f>
        <v>1</v>
      </c>
      <c r="AY13" s="38" t="str">
        <f>CONCATENATE(AJ13&amp;AL13)</f>
        <v>B7</v>
      </c>
      <c r="AZ13" s="38" t="str">
        <f>IF(AE13=$AW$11,"2","0")</f>
        <v>0</v>
      </c>
      <c r="BA13" s="38" t="str">
        <f>IF(AG13=$AW$11,"1","0")</f>
        <v>1</v>
      </c>
      <c r="BB13" s="38" t="str">
        <f>IF(AF13=$AW$11,"1","0")</f>
        <v>0</v>
      </c>
      <c r="BC13" s="38">
        <f>AZ13+BA13</f>
        <v>1</v>
      </c>
      <c r="BD13" s="38">
        <f>BB13+0</f>
        <v>0</v>
      </c>
      <c r="BL13" s="38" t="str">
        <f>IF(AE13="","",CONCATENATE($BL$12&amp;AJ13&amp;AE13))</f>
        <v/>
      </c>
      <c r="BM13" s="38" t="str">
        <f>IF(AG13="","",CONCATENATE($BM$12&amp;AJ13&amp;AG13))</f>
        <v>dBX</v>
      </c>
      <c r="BN13" s="38" t="str">
        <f>IF(AF13="","",CONCATENATE($BN$12&amp;AJ13,AF13))</f>
        <v/>
      </c>
      <c r="BO13" s="38" t="str">
        <f>IF(AH13="","",CONCATENATE($BO$12&amp;AJ13&amp;AH13))</f>
        <v/>
      </c>
      <c r="BP13" s="38" t="str">
        <f>IF(AI13="","",CONCATENATE($BP$12&amp;AJ13&amp;AI13))</f>
        <v/>
      </c>
      <c r="BQ13" s="38" t="str">
        <f>CONCATENATE(BL13&amp;BM13&amp;BN13&amp;BO13&amp;BP13)</f>
        <v>dBX</v>
      </c>
    </row>
    <row r="14" spans="1:256" ht="15.6" x14ac:dyDescent="0.3">
      <c r="A14" s="104" t="s">
        <v>265</v>
      </c>
      <c r="B14" s="397">
        <f>IF(ISBLANK(HLOOKUP($F$10,spelerslijsten!$B$1:$J$22,4,FALSE)),"",HLOOKUP($F$10,spelerslijsten!$B$1:$J$22,4,FALSE))</f>
        <v>2</v>
      </c>
      <c r="C14" s="398"/>
      <c r="D14" s="105"/>
      <c r="E14" s="106" t="str">
        <f>IF(ISBLANK(HLOOKUP($F$10,spelerslijsten!$B$1:$J$22,3,FALSE)),"",HLOOKUP($F$10,spelerslijsten!$B$1:$J$22,3,FALSE))</f>
        <v>Corne Braken</v>
      </c>
      <c r="F14" s="107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8">
        <f t="shared" ref="V14:V20" si="0">SUMIF($AY$13:$AY$46,AT14,$BC$13:$BC$46)</f>
        <v>0</v>
      </c>
      <c r="W14" s="109" t="str">
        <f>IF(AU14&gt;0,"x","")</f>
        <v/>
      </c>
      <c r="X14" s="110" t="str">
        <f>IF(AU14&gt;1,"x","")</f>
        <v/>
      </c>
      <c r="Y14" s="103" t="str">
        <f>IF(AU14&gt;2,"x","")</f>
        <v/>
      </c>
      <c r="Z14" s="111">
        <v>1</v>
      </c>
      <c r="AA14" s="112">
        <v>0</v>
      </c>
      <c r="AB14" s="113" t="str">
        <f>+AB13</f>
        <v>-</v>
      </c>
      <c r="AC14" s="112">
        <v>1</v>
      </c>
      <c r="AD14" s="114">
        <v>4</v>
      </c>
      <c r="AE14" s="115"/>
      <c r="AF14" s="115"/>
      <c r="AG14" s="116" t="s">
        <v>265</v>
      </c>
      <c r="AH14" s="117"/>
      <c r="AI14" s="117"/>
      <c r="AJ14" s="342" t="s">
        <v>18</v>
      </c>
      <c r="AK14" s="343"/>
      <c r="AL14" s="346">
        <v>10</v>
      </c>
      <c r="AM14" s="347"/>
      <c r="AN14" s="118"/>
      <c r="AO14" s="101">
        <f>IF(BQ14="","",IF(BQ14=$BL$10,"2"+AO13,IF(BQ14=$BM$10,"1"+AO13,IF(BQ14=$BN$10,"0"+AO13,IF(BQ14=$BO$10,"0"+AO13,IF(BQ14=$BP$10,"0"+AO13,"0"+AO13))))))</f>
        <v>0</v>
      </c>
      <c r="AP14" s="113" t="str">
        <f>+AP13</f>
        <v>-</v>
      </c>
      <c r="AQ14" s="119"/>
      <c r="AR14" s="103">
        <f>IF(BQ14="","",IF(BQ14=$BL$11,"2"+AR13,IF(BQ14=$BM$11,"1"+AR13,IF(BQ14=$BN$11,"0"+AR13,IF(BQ14=$BO$11,"0"+AR13,IF(BQ14=$BP$11,"0"+AR13,"0"+AR13))))))</f>
        <v>2</v>
      </c>
      <c r="AT14" s="38" t="str">
        <f>CONCATENATE($AU$11&amp;B14)</f>
        <v>W2</v>
      </c>
      <c r="AU14" s="38">
        <f>SUMIF($AY$13:$AY$46,AT14,$BD$13:$BD$46)</f>
        <v>0</v>
      </c>
      <c r="AY14" s="38" t="str">
        <f t="shared" ref="AY14:AY46" si="1">CONCATENATE(AJ14&amp;AL14)</f>
        <v>B10</v>
      </c>
      <c r="AZ14" s="38" t="str">
        <f t="shared" ref="AZ14:AZ46" si="2">IF(AE14=$AW$11,"2","0")</f>
        <v>0</v>
      </c>
      <c r="BA14" s="38" t="str">
        <f t="shared" ref="BA14:BA46" si="3">IF(AG14=$AW$11,"1","0")</f>
        <v>1</v>
      </c>
      <c r="BB14" s="38" t="str">
        <f t="shared" ref="BB14:BB46" si="4">IF(AF14=$AW$11,"1","0")</f>
        <v>0</v>
      </c>
      <c r="BC14" s="38">
        <f t="shared" ref="BC14:BC46" si="5">AZ14+BA14</f>
        <v>1</v>
      </c>
      <c r="BD14" s="38">
        <f t="shared" ref="BD14:BD46" si="6">BB14+0</f>
        <v>0</v>
      </c>
      <c r="BL14" s="38" t="str">
        <f t="shared" ref="BL14:BL46" si="7">IF(AE14="","",CONCATENATE($BL$12&amp;AJ14&amp;AE14))</f>
        <v/>
      </c>
      <c r="BM14" s="38" t="str">
        <f t="shared" ref="BM14:BM46" si="8">IF(AG14="","",CONCATENATE($BM$12&amp;AJ14&amp;AG14))</f>
        <v>dBX</v>
      </c>
      <c r="BN14" s="38" t="str">
        <f t="shared" ref="BN14:BN46" si="9">IF(AF14="","",CONCATENATE($BN$12&amp;AJ14,AF14))</f>
        <v/>
      </c>
      <c r="BO14" s="38" t="str">
        <f t="shared" ref="BO14:BO46" si="10">IF(AH14="","",CONCATENATE($BO$12&amp;AJ14&amp;AH14))</f>
        <v/>
      </c>
      <c r="BP14" s="38" t="str">
        <f t="shared" ref="BP14:BP46" si="11">IF(AI14="","",CONCATENATE($BP$12&amp;AJ14&amp;AI14))</f>
        <v/>
      </c>
      <c r="BQ14" s="38" t="str">
        <f t="shared" ref="BQ14:BQ46" si="12">CONCATENATE(BL14&amp;BM14&amp;BN14&amp;BO14&amp;BP14)</f>
        <v>dBX</v>
      </c>
    </row>
    <row r="15" spans="1:256" ht="15.6" x14ac:dyDescent="0.3">
      <c r="A15" s="120" t="s">
        <v>265</v>
      </c>
      <c r="B15" s="397">
        <f>IF(ISBLANK(HLOOKUP($F$10,spelerslijsten!$B$1:$J$22,6,FALSE)),"",HLOOKUP($F$10,spelerslijsten!$B$1:$J$22,6,FALSE))</f>
        <v>3</v>
      </c>
      <c r="C15" s="398"/>
      <c r="D15" s="121"/>
      <c r="E15" s="122" t="str">
        <f>IF(ISBLANK(HLOOKUP($F$10,spelerslijsten!$B$1:$J$22,5,FALSE)),"",HLOOKUP($F$10,spelerslijsten!$B$1:$J$22,5,FALSE))</f>
        <v>Kevin Kanters</v>
      </c>
      <c r="F15" s="123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08">
        <f t="shared" si="0"/>
        <v>0</v>
      </c>
      <c r="W15" s="109" t="str">
        <f t="shared" ref="W15:W23" si="13">IF(AU15&gt;0,"x","")</f>
        <v/>
      </c>
      <c r="X15" s="110" t="str">
        <f t="shared" ref="X15:X23" si="14">IF(AU15&gt;1,"x","")</f>
        <v/>
      </c>
      <c r="Y15" s="103" t="str">
        <f t="shared" ref="Y15:Y23" si="15">IF(AU15&gt;2,"x","")</f>
        <v/>
      </c>
      <c r="Z15" s="111">
        <v>1</v>
      </c>
      <c r="AA15" s="112">
        <v>1</v>
      </c>
      <c r="AB15" s="113" t="str">
        <f t="shared" ref="AB15:AB44" si="16">+AB14</f>
        <v>-</v>
      </c>
      <c r="AC15" s="112">
        <v>5</v>
      </c>
      <c r="AD15" s="114">
        <v>9</v>
      </c>
      <c r="AE15" s="115"/>
      <c r="AF15" s="115"/>
      <c r="AG15" s="116" t="s">
        <v>265</v>
      </c>
      <c r="AH15" s="117"/>
      <c r="AI15" s="117"/>
      <c r="AJ15" s="342" t="s">
        <v>17</v>
      </c>
      <c r="AK15" s="343"/>
      <c r="AL15" s="346">
        <v>4</v>
      </c>
      <c r="AM15" s="347"/>
      <c r="AN15" s="118"/>
      <c r="AO15" s="101">
        <f>IF(BQ15="","",IF(BQ15=$BL$10,"2"+AO14,IF(BQ15=$BM$10,"1"+AO14,IF(BQ15=$BN$10,"0"+AO14,IF(BQ15=$BO$10,"0"+AO14,IF(BQ15=$BP$10,"0"+AO14,"0"+AO14))))))</f>
        <v>1</v>
      </c>
      <c r="AP15" s="113" t="str">
        <f>+AP14</f>
        <v>-</v>
      </c>
      <c r="AQ15" s="119"/>
      <c r="AR15" s="103">
        <f>IF(BQ15="","",IF(BQ15=$BL$11,"2"+AR14,IF(BQ15=$BM$11,"1"+AR14,IF(BQ15=$BN$11,"0"+AR14,IF(BQ15=$BO$11,"0"+AR14,IF(BQ15=$BP$11,"0"+AR14,"0"+AR14))))))</f>
        <v>2</v>
      </c>
      <c r="AT15" s="38" t="str">
        <f t="shared" ref="AT15:AT23" si="17">CONCATENATE($AU$11&amp;B15)</f>
        <v>W3</v>
      </c>
      <c r="AU15" s="38">
        <f t="shared" ref="AU15:AU39" si="18">SUMIF($AY$13:$AY$46,AT15,$BD$13:$BD$46)</f>
        <v>0</v>
      </c>
      <c r="AY15" s="38" t="str">
        <f t="shared" si="1"/>
        <v>W4</v>
      </c>
      <c r="AZ15" s="38" t="str">
        <f t="shared" si="2"/>
        <v>0</v>
      </c>
      <c r="BA15" s="38" t="str">
        <f t="shared" si="3"/>
        <v>1</v>
      </c>
      <c r="BB15" s="38" t="str">
        <f t="shared" si="4"/>
        <v>0</v>
      </c>
      <c r="BC15" s="38">
        <f t="shared" si="5"/>
        <v>1</v>
      </c>
      <c r="BD15" s="38">
        <f t="shared" si="6"/>
        <v>0</v>
      </c>
      <c r="BL15" s="38" t="str">
        <f t="shared" si="7"/>
        <v/>
      </c>
      <c r="BM15" s="38" t="str">
        <f t="shared" si="8"/>
        <v>dWX</v>
      </c>
      <c r="BN15" s="38" t="str">
        <f t="shared" si="9"/>
        <v/>
      </c>
      <c r="BO15" s="38" t="str">
        <f t="shared" si="10"/>
        <v/>
      </c>
      <c r="BP15" s="38" t="str">
        <f t="shared" si="11"/>
        <v/>
      </c>
      <c r="BQ15" s="38" t="str">
        <f t="shared" si="12"/>
        <v>dWX</v>
      </c>
    </row>
    <row r="16" spans="1:256" ht="15.6" x14ac:dyDescent="0.3">
      <c r="A16" s="124" t="s">
        <v>265</v>
      </c>
      <c r="B16" s="397">
        <f>IF(ISBLANK(HLOOKUP($F$10,spelerslijsten!$B$1:$J$22,8,FALSE)),"",HLOOKUP($F$10,spelerslijsten!$B$1:$J$22,8,FALSE))</f>
        <v>4</v>
      </c>
      <c r="C16" s="398"/>
      <c r="D16" s="121"/>
      <c r="E16" s="122" t="str">
        <f>IF(ISBLANK(HLOOKUP($F$10,spelerslijsten!$B$1:$J$22,7,FALSE)),"",HLOOKUP($F$10,spelerslijsten!$B$1:$J$22,7,FALSE))</f>
        <v>Monique Schouten</v>
      </c>
      <c r="F16" s="12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08">
        <f t="shared" si="0"/>
        <v>1</v>
      </c>
      <c r="W16" s="109" t="str">
        <f t="shared" si="13"/>
        <v/>
      </c>
      <c r="X16" s="110" t="str">
        <f t="shared" si="14"/>
        <v/>
      </c>
      <c r="Y16" s="103" t="str">
        <f t="shared" si="15"/>
        <v/>
      </c>
      <c r="Z16" s="111"/>
      <c r="AA16" s="112"/>
      <c r="AB16" s="113" t="str">
        <f t="shared" si="16"/>
        <v>-</v>
      </c>
      <c r="AC16" s="112"/>
      <c r="AD16" s="114"/>
      <c r="AE16" s="115"/>
      <c r="AF16" s="115"/>
      <c r="AG16" s="116"/>
      <c r="AH16" s="117"/>
      <c r="AI16" s="117"/>
      <c r="AJ16" s="342"/>
      <c r="AK16" s="343"/>
      <c r="AL16" s="346"/>
      <c r="AM16" s="347"/>
      <c r="AN16" s="118"/>
      <c r="AO16" s="101" t="str">
        <f t="shared" ref="AO16:AO46" si="19">IF(BQ16="","",IF(BQ16=$BL$10,"2"+AO15,IF(BQ16=$BM$10,"1"+AO15,IF(BQ16=$BN$10,"0"+AO15,IF(BQ16=$BO$10,"0"+AO15,IF(BQ16=$BP$10,"0"+AO15,"0"+AO15))))))</f>
        <v/>
      </c>
      <c r="AP16" s="113" t="str">
        <f t="shared" ref="AP16:AP46" si="20">+AP15</f>
        <v>-</v>
      </c>
      <c r="AQ16" s="119"/>
      <c r="AR16" s="103" t="str">
        <f t="shared" ref="AR16:AR46" si="21">IF(BQ16="","",IF(BQ16=$BL$11,"2"+AR15,IF(BQ16=$BM$11,"1"+AR15,IF(BQ16=$BN$11,"0"+AR15,IF(BQ16=$BO$11,"0"+AR15,IF(BQ16=$BP$11,"0"+AR15,"0"+AR15))))))</f>
        <v/>
      </c>
      <c r="AT16" s="38" t="str">
        <f t="shared" si="17"/>
        <v>W4</v>
      </c>
      <c r="AU16" s="38">
        <f t="shared" si="18"/>
        <v>0</v>
      </c>
      <c r="AY16" s="38" t="str">
        <f t="shared" si="1"/>
        <v/>
      </c>
      <c r="AZ16" s="38" t="str">
        <f t="shared" si="2"/>
        <v>0</v>
      </c>
      <c r="BA16" s="38" t="str">
        <f t="shared" si="3"/>
        <v>0</v>
      </c>
      <c r="BB16" s="38" t="str">
        <f t="shared" si="4"/>
        <v>0</v>
      </c>
      <c r="BC16" s="38">
        <f t="shared" si="5"/>
        <v>0</v>
      </c>
      <c r="BD16" s="38">
        <f t="shared" si="6"/>
        <v>0</v>
      </c>
      <c r="BL16" s="38" t="str">
        <f t="shared" si="7"/>
        <v/>
      </c>
      <c r="BM16" s="38" t="str">
        <f t="shared" si="8"/>
        <v/>
      </c>
      <c r="BN16" s="38" t="str">
        <f t="shared" si="9"/>
        <v/>
      </c>
      <c r="BO16" s="38" t="str">
        <f t="shared" si="10"/>
        <v/>
      </c>
      <c r="BP16" s="38" t="str">
        <f t="shared" si="11"/>
        <v/>
      </c>
      <c r="BQ16" s="38" t="str">
        <f t="shared" si="12"/>
        <v/>
      </c>
    </row>
    <row r="17" spans="1:69" ht="15.6" x14ac:dyDescent="0.3">
      <c r="A17" s="124" t="s">
        <v>265</v>
      </c>
      <c r="B17" s="397">
        <f>IF(ISBLANK(HLOOKUP($F$10,spelerslijsten!$B$1:$J$22,10,FALSE)),"",HLOOKUP($F$10,spelerslijsten!$B$1:$J$22,10,FALSE))</f>
        <v>5</v>
      </c>
      <c r="C17" s="398"/>
      <c r="D17" s="121"/>
      <c r="E17" s="122" t="str">
        <f>IF(ISBLANK(HLOOKUP($F$10,spelerslijsten!$B$1:$J$22,9,FALSE)),"",HLOOKUP($F$10,spelerslijsten!$B$1:$J$22,9,FALSE))</f>
        <v>Miranda van Schaijk</v>
      </c>
      <c r="F17" s="12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08">
        <f t="shared" si="0"/>
        <v>0</v>
      </c>
      <c r="W17" s="109" t="str">
        <f t="shared" si="13"/>
        <v/>
      </c>
      <c r="X17" s="110" t="str">
        <f t="shared" si="14"/>
        <v/>
      </c>
      <c r="Y17" s="103" t="str">
        <f t="shared" si="15"/>
        <v/>
      </c>
      <c r="Z17" s="111"/>
      <c r="AA17" s="112"/>
      <c r="AB17" s="113" t="str">
        <f t="shared" si="16"/>
        <v>-</v>
      </c>
      <c r="AC17" s="112"/>
      <c r="AD17" s="114"/>
      <c r="AE17" s="115"/>
      <c r="AF17" s="115"/>
      <c r="AG17" s="116"/>
      <c r="AH17" s="117"/>
      <c r="AI17" s="117"/>
      <c r="AJ17" s="342"/>
      <c r="AK17" s="343"/>
      <c r="AL17" s="346"/>
      <c r="AM17" s="347"/>
      <c r="AN17" s="118"/>
      <c r="AO17" s="101" t="str">
        <f t="shared" si="19"/>
        <v/>
      </c>
      <c r="AP17" s="113" t="str">
        <f t="shared" si="20"/>
        <v>-</v>
      </c>
      <c r="AQ17" s="119"/>
      <c r="AR17" s="103" t="str">
        <f t="shared" si="21"/>
        <v/>
      </c>
      <c r="AT17" s="38" t="str">
        <f t="shared" si="17"/>
        <v>W5</v>
      </c>
      <c r="AU17" s="38">
        <f t="shared" si="18"/>
        <v>0</v>
      </c>
      <c r="AY17" s="38" t="str">
        <f t="shared" si="1"/>
        <v/>
      </c>
      <c r="AZ17" s="38" t="str">
        <f t="shared" si="2"/>
        <v>0</v>
      </c>
      <c r="BA17" s="38" t="str">
        <f t="shared" si="3"/>
        <v>0</v>
      </c>
      <c r="BB17" s="38" t="str">
        <f t="shared" si="4"/>
        <v>0</v>
      </c>
      <c r="BC17" s="38">
        <f t="shared" si="5"/>
        <v>0</v>
      </c>
      <c r="BD17" s="38">
        <f t="shared" si="6"/>
        <v>0</v>
      </c>
      <c r="BL17" s="38" t="str">
        <f t="shared" si="7"/>
        <v/>
      </c>
      <c r="BM17" s="38" t="str">
        <f t="shared" si="8"/>
        <v/>
      </c>
      <c r="BN17" s="38" t="str">
        <f t="shared" si="9"/>
        <v/>
      </c>
      <c r="BO17" s="38" t="str">
        <f t="shared" si="10"/>
        <v/>
      </c>
      <c r="BP17" s="38" t="str">
        <f t="shared" si="11"/>
        <v/>
      </c>
      <c r="BQ17" s="38" t="str">
        <f t="shared" si="12"/>
        <v/>
      </c>
    </row>
    <row r="18" spans="1:69" ht="15.6" x14ac:dyDescent="0.3">
      <c r="A18" s="124" t="s">
        <v>265</v>
      </c>
      <c r="B18" s="397">
        <f>IF(ISBLANK(HLOOKUP($F$10,spelerslijsten!$B$1:$J$22,12,FALSE)),"",HLOOKUP($F$10,spelerslijsten!$B$1:$J$22,12,FALSE))</f>
        <v>6</v>
      </c>
      <c r="C18" s="398"/>
      <c r="D18" s="121"/>
      <c r="E18" s="122" t="str">
        <f>IF(ISBLANK(HLOOKUP($F$10,spelerslijsten!$B$1:$J$22,11,FALSE)),"",HLOOKUP($F$10,spelerslijsten!$B$1:$J$22,11,FALSE))</f>
        <v>Jan Zegers</v>
      </c>
      <c r="F18" s="12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08">
        <f t="shared" si="0"/>
        <v>0</v>
      </c>
      <c r="W18" s="109" t="str">
        <f t="shared" si="13"/>
        <v/>
      </c>
      <c r="X18" s="110" t="str">
        <f t="shared" si="14"/>
        <v/>
      </c>
      <c r="Y18" s="103" t="str">
        <f t="shared" si="15"/>
        <v/>
      </c>
      <c r="Z18" s="111"/>
      <c r="AA18" s="112"/>
      <c r="AB18" s="113" t="s">
        <v>16</v>
      </c>
      <c r="AC18" s="112"/>
      <c r="AD18" s="114"/>
      <c r="AE18" s="115"/>
      <c r="AF18" s="115"/>
      <c r="AG18" s="116"/>
      <c r="AH18" s="117"/>
      <c r="AI18" s="117"/>
      <c r="AJ18" s="342"/>
      <c r="AK18" s="343"/>
      <c r="AL18" s="346"/>
      <c r="AM18" s="347"/>
      <c r="AN18" s="118"/>
      <c r="AO18" s="101" t="str">
        <f t="shared" si="19"/>
        <v/>
      </c>
      <c r="AP18" s="113" t="str">
        <f t="shared" si="20"/>
        <v>-</v>
      </c>
      <c r="AQ18" s="119"/>
      <c r="AR18" s="103" t="str">
        <f t="shared" si="21"/>
        <v/>
      </c>
      <c r="AT18" s="38" t="str">
        <f t="shared" si="17"/>
        <v>W6</v>
      </c>
      <c r="AU18" s="38">
        <f t="shared" si="18"/>
        <v>0</v>
      </c>
      <c r="AY18" s="38" t="str">
        <f t="shared" si="1"/>
        <v/>
      </c>
      <c r="AZ18" s="38" t="str">
        <f t="shared" si="2"/>
        <v>0</v>
      </c>
      <c r="BA18" s="38" t="str">
        <f t="shared" si="3"/>
        <v>0</v>
      </c>
      <c r="BB18" s="38" t="str">
        <f t="shared" si="4"/>
        <v>0</v>
      </c>
      <c r="BC18" s="38">
        <f t="shared" si="5"/>
        <v>0</v>
      </c>
      <c r="BD18" s="38">
        <f t="shared" si="6"/>
        <v>0</v>
      </c>
      <c r="BL18" s="38" t="str">
        <f t="shared" si="7"/>
        <v/>
      </c>
      <c r="BM18" s="38" t="str">
        <f t="shared" si="8"/>
        <v/>
      </c>
      <c r="BN18" s="38" t="str">
        <f t="shared" si="9"/>
        <v/>
      </c>
      <c r="BO18" s="38" t="str">
        <f t="shared" si="10"/>
        <v/>
      </c>
      <c r="BP18" s="38" t="str">
        <f t="shared" si="11"/>
        <v/>
      </c>
      <c r="BQ18" s="38" t="str">
        <f t="shared" si="12"/>
        <v/>
      </c>
    </row>
    <row r="19" spans="1:69" ht="15.6" x14ac:dyDescent="0.3">
      <c r="A19" s="124" t="s">
        <v>265</v>
      </c>
      <c r="B19" s="397">
        <f>IF(ISBLANK(HLOOKUP($F$10,spelerslijsten!$B$1:$J$22,14,FALSE)),"",HLOOKUP($F$10,spelerslijsten!$B$1:$J$22,14,FALSE))</f>
        <v>9</v>
      </c>
      <c r="C19" s="398"/>
      <c r="D19" s="121"/>
      <c r="E19" s="122" t="str">
        <f>IF(ISBLANK(HLOOKUP($F$10,spelerslijsten!$B$1:$J$22,13,FALSE)),"",HLOOKUP($F$10,spelerslijsten!$B$1:$J$22,13,FALSE))</f>
        <v>Christian Gibbels</v>
      </c>
      <c r="F19" s="12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08">
        <f t="shared" si="0"/>
        <v>0</v>
      </c>
      <c r="W19" s="109" t="str">
        <f t="shared" si="13"/>
        <v/>
      </c>
      <c r="X19" s="110" t="str">
        <f t="shared" si="14"/>
        <v/>
      </c>
      <c r="Y19" s="103" t="str">
        <f t="shared" si="15"/>
        <v/>
      </c>
      <c r="Z19" s="111"/>
      <c r="AA19" s="112"/>
      <c r="AB19" s="113" t="str">
        <f t="shared" si="16"/>
        <v>-</v>
      </c>
      <c r="AC19" s="112"/>
      <c r="AD19" s="114"/>
      <c r="AE19" s="115"/>
      <c r="AF19" s="115"/>
      <c r="AG19" s="116"/>
      <c r="AH19" s="117"/>
      <c r="AI19" s="117"/>
      <c r="AJ19" s="342"/>
      <c r="AK19" s="343"/>
      <c r="AL19" s="346"/>
      <c r="AM19" s="347"/>
      <c r="AN19" s="118"/>
      <c r="AO19" s="101" t="str">
        <f t="shared" si="19"/>
        <v/>
      </c>
      <c r="AP19" s="113" t="str">
        <f t="shared" si="20"/>
        <v>-</v>
      </c>
      <c r="AQ19" s="119"/>
      <c r="AR19" s="103" t="str">
        <f t="shared" si="21"/>
        <v/>
      </c>
      <c r="AT19" s="38" t="str">
        <f t="shared" si="17"/>
        <v>W9</v>
      </c>
      <c r="AU19" s="38">
        <f t="shared" si="18"/>
        <v>0</v>
      </c>
      <c r="AY19" s="38" t="str">
        <f t="shared" si="1"/>
        <v/>
      </c>
      <c r="AZ19" s="38" t="str">
        <f t="shared" si="2"/>
        <v>0</v>
      </c>
      <c r="BA19" s="38" t="str">
        <f t="shared" si="3"/>
        <v>0</v>
      </c>
      <c r="BB19" s="38" t="str">
        <f t="shared" si="4"/>
        <v>0</v>
      </c>
      <c r="BC19" s="38">
        <f t="shared" si="5"/>
        <v>0</v>
      </c>
      <c r="BD19" s="38">
        <f t="shared" si="6"/>
        <v>0</v>
      </c>
      <c r="BL19" s="38" t="str">
        <f t="shared" si="7"/>
        <v/>
      </c>
      <c r="BM19" s="38" t="str">
        <f t="shared" si="8"/>
        <v/>
      </c>
      <c r="BN19" s="38" t="str">
        <f t="shared" si="9"/>
        <v/>
      </c>
      <c r="BO19" s="38" t="str">
        <f t="shared" si="10"/>
        <v/>
      </c>
      <c r="BP19" s="38" t="str">
        <f t="shared" si="11"/>
        <v/>
      </c>
      <c r="BQ19" s="38" t="str">
        <f t="shared" si="12"/>
        <v/>
      </c>
    </row>
    <row r="20" spans="1:69" ht="15.6" x14ac:dyDescent="0.3">
      <c r="A20" s="124" t="s">
        <v>265</v>
      </c>
      <c r="B20" s="397">
        <f>IF(ISBLANK(HLOOKUP($F$10,spelerslijsten!$B$1:$J$22,16,FALSE)),"",HLOOKUP($F$10,spelerslijsten!$B$1:$J$22,16,FALSE))</f>
        <v>10</v>
      </c>
      <c r="C20" s="398"/>
      <c r="D20" s="121"/>
      <c r="E20" s="122" t="str">
        <f>IF(ISBLANK(HLOOKUP($F$10,spelerslijsten!$B$1:$J$22,15,FALSE)),"",HLOOKUP($F$10,spelerslijsten!$B$1:$J$22,15,FALSE))</f>
        <v>Stefan van der Wielen</v>
      </c>
      <c r="F20" s="12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08">
        <f t="shared" si="0"/>
        <v>0</v>
      </c>
      <c r="W20" s="109" t="str">
        <f t="shared" si="13"/>
        <v/>
      </c>
      <c r="X20" s="110" t="str">
        <f t="shared" si="14"/>
        <v/>
      </c>
      <c r="Y20" s="103" t="str">
        <f t="shared" si="15"/>
        <v/>
      </c>
      <c r="Z20" s="111"/>
      <c r="AA20" s="112"/>
      <c r="AB20" s="113" t="str">
        <f t="shared" si="16"/>
        <v>-</v>
      </c>
      <c r="AC20" s="112"/>
      <c r="AD20" s="114"/>
      <c r="AE20" s="115"/>
      <c r="AF20" s="115"/>
      <c r="AG20" s="116"/>
      <c r="AH20" s="117"/>
      <c r="AI20" s="117"/>
      <c r="AJ20" s="342"/>
      <c r="AK20" s="343"/>
      <c r="AL20" s="346"/>
      <c r="AM20" s="347"/>
      <c r="AN20" s="118"/>
      <c r="AO20" s="101" t="str">
        <f t="shared" si="19"/>
        <v/>
      </c>
      <c r="AP20" s="113" t="str">
        <f t="shared" si="20"/>
        <v>-</v>
      </c>
      <c r="AQ20" s="119"/>
      <c r="AR20" s="103" t="str">
        <f t="shared" si="21"/>
        <v/>
      </c>
      <c r="AT20" s="38" t="str">
        <f t="shared" si="17"/>
        <v>W10</v>
      </c>
      <c r="AU20" s="38">
        <f t="shared" si="18"/>
        <v>0</v>
      </c>
      <c r="AY20" s="38" t="str">
        <f t="shared" si="1"/>
        <v/>
      </c>
      <c r="AZ20" s="38" t="str">
        <f t="shared" si="2"/>
        <v>0</v>
      </c>
      <c r="BA20" s="38" t="str">
        <f t="shared" si="3"/>
        <v>0</v>
      </c>
      <c r="BB20" s="38" t="str">
        <f t="shared" si="4"/>
        <v>0</v>
      </c>
      <c r="BC20" s="38">
        <f t="shared" si="5"/>
        <v>0</v>
      </c>
      <c r="BD20" s="38">
        <f t="shared" si="6"/>
        <v>0</v>
      </c>
      <c r="BL20" s="38" t="str">
        <f t="shared" si="7"/>
        <v/>
      </c>
      <c r="BM20" s="38" t="str">
        <f t="shared" si="8"/>
        <v/>
      </c>
      <c r="BN20" s="38" t="str">
        <f t="shared" si="9"/>
        <v/>
      </c>
      <c r="BO20" s="38" t="str">
        <f t="shared" si="10"/>
        <v/>
      </c>
      <c r="BP20" s="38" t="str">
        <f t="shared" si="11"/>
        <v/>
      </c>
      <c r="BQ20" s="38" t="str">
        <f t="shared" si="12"/>
        <v/>
      </c>
    </row>
    <row r="21" spans="1:69" ht="15.6" x14ac:dyDescent="0.3">
      <c r="A21" s="124"/>
      <c r="B21" s="397" t="str">
        <f>IF(ISBLANK(HLOOKUP($F$10,spelerslijsten!$B$1:$J$22,18,FALSE)),"",HLOOKUP($F$10,spelerslijsten!$B$1:$J$22,18,FALSE))</f>
        <v/>
      </c>
      <c r="C21" s="398"/>
      <c r="D21" s="121"/>
      <c r="E21" s="122" t="str">
        <f>IF(ISBLANK(HLOOKUP($F$10,spelerslijsten!$B$1:$J$22,17,FALSE)),"",HLOOKUP($F$10,spelerslijsten!$B$1:$J$22,17,FALSE))</f>
        <v/>
      </c>
      <c r="F21" s="12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08">
        <f>SUMIF($AY$13:$AY$46,AT21,$BC$13:$BC$46)</f>
        <v>0</v>
      </c>
      <c r="W21" s="109" t="str">
        <f t="shared" si="13"/>
        <v/>
      </c>
      <c r="X21" s="110" t="str">
        <f t="shared" si="14"/>
        <v/>
      </c>
      <c r="Y21" s="103" t="str">
        <f t="shared" si="15"/>
        <v/>
      </c>
      <c r="Z21" s="111"/>
      <c r="AA21" s="112"/>
      <c r="AB21" s="113" t="str">
        <f t="shared" si="16"/>
        <v>-</v>
      </c>
      <c r="AC21" s="112"/>
      <c r="AD21" s="114"/>
      <c r="AE21" s="115"/>
      <c r="AF21" s="115"/>
      <c r="AG21" s="116"/>
      <c r="AH21" s="117"/>
      <c r="AI21" s="117"/>
      <c r="AJ21" s="342"/>
      <c r="AK21" s="343"/>
      <c r="AL21" s="346"/>
      <c r="AM21" s="347"/>
      <c r="AN21" s="118"/>
      <c r="AO21" s="101" t="str">
        <f t="shared" si="19"/>
        <v/>
      </c>
      <c r="AP21" s="113" t="str">
        <f t="shared" si="20"/>
        <v>-</v>
      </c>
      <c r="AQ21" s="119"/>
      <c r="AR21" s="103" t="str">
        <f t="shared" si="21"/>
        <v/>
      </c>
      <c r="AT21" s="38" t="str">
        <f t="shared" si="17"/>
        <v>W</v>
      </c>
      <c r="AU21" s="38">
        <f t="shared" si="18"/>
        <v>0</v>
      </c>
      <c r="AY21" s="38" t="str">
        <f t="shared" si="1"/>
        <v/>
      </c>
      <c r="AZ21" s="38" t="str">
        <f t="shared" si="2"/>
        <v>0</v>
      </c>
      <c r="BA21" s="38" t="str">
        <f t="shared" si="3"/>
        <v>0</v>
      </c>
      <c r="BB21" s="38" t="str">
        <f t="shared" si="4"/>
        <v>0</v>
      </c>
      <c r="BC21" s="38">
        <f t="shared" si="5"/>
        <v>0</v>
      </c>
      <c r="BD21" s="38">
        <f t="shared" si="6"/>
        <v>0</v>
      </c>
      <c r="BL21" s="38" t="str">
        <f t="shared" si="7"/>
        <v/>
      </c>
      <c r="BM21" s="38" t="str">
        <f t="shared" si="8"/>
        <v/>
      </c>
      <c r="BN21" s="38" t="str">
        <f t="shared" si="9"/>
        <v/>
      </c>
      <c r="BO21" s="38" t="str">
        <f t="shared" si="10"/>
        <v/>
      </c>
      <c r="BP21" s="38" t="str">
        <f t="shared" si="11"/>
        <v/>
      </c>
      <c r="BQ21" s="38" t="str">
        <f t="shared" si="12"/>
        <v/>
      </c>
    </row>
    <row r="22" spans="1:69" ht="15.6" x14ac:dyDescent="0.3">
      <c r="A22" s="124"/>
      <c r="B22" s="397" t="str">
        <f>IF(ISBLANK(HLOOKUP($F$10,spelerslijsten!$B$1:$J$22,20,FALSE)),"",HLOOKUP($F$10,spelerslijsten!$B$1:$J$22,20,FALSE))</f>
        <v/>
      </c>
      <c r="C22" s="398"/>
      <c r="D22" s="121"/>
      <c r="E22" s="122" t="str">
        <f>IF(ISBLANK(HLOOKUP($F$10,spelerslijsten!$B$1:$J$22,19,FALSE)),"",HLOOKUP($F$10,spelerslijsten!$B$1:$J$22,19,FALSE))</f>
        <v/>
      </c>
      <c r="F22" s="12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08">
        <f t="shared" ref="V22:V23" si="22">SUMIF($AY$13:$AY$46,AT22,$BC$13:$BC$46)</f>
        <v>0</v>
      </c>
      <c r="W22" s="109" t="str">
        <f t="shared" si="13"/>
        <v/>
      </c>
      <c r="X22" s="110" t="str">
        <f t="shared" si="14"/>
        <v/>
      </c>
      <c r="Y22" s="103" t="str">
        <f t="shared" si="15"/>
        <v/>
      </c>
      <c r="Z22" s="111"/>
      <c r="AA22" s="112"/>
      <c r="AB22" s="113" t="str">
        <f t="shared" si="16"/>
        <v>-</v>
      </c>
      <c r="AC22" s="112"/>
      <c r="AD22" s="114"/>
      <c r="AE22" s="115"/>
      <c r="AF22" s="115"/>
      <c r="AG22" s="116"/>
      <c r="AH22" s="117"/>
      <c r="AI22" s="117"/>
      <c r="AJ22" s="342"/>
      <c r="AK22" s="343"/>
      <c r="AL22" s="346"/>
      <c r="AM22" s="347"/>
      <c r="AN22" s="118"/>
      <c r="AO22" s="101" t="str">
        <f t="shared" si="19"/>
        <v/>
      </c>
      <c r="AP22" s="113" t="str">
        <f t="shared" si="20"/>
        <v>-</v>
      </c>
      <c r="AQ22" s="119"/>
      <c r="AR22" s="103" t="str">
        <f t="shared" si="21"/>
        <v/>
      </c>
      <c r="AT22" s="38" t="str">
        <f t="shared" si="17"/>
        <v>W</v>
      </c>
      <c r="AU22" s="38">
        <f t="shared" si="18"/>
        <v>0</v>
      </c>
      <c r="AY22" s="38" t="str">
        <f t="shared" si="1"/>
        <v/>
      </c>
      <c r="AZ22" s="38" t="str">
        <f t="shared" si="2"/>
        <v>0</v>
      </c>
      <c r="BA22" s="38" t="str">
        <f t="shared" si="3"/>
        <v>0</v>
      </c>
      <c r="BB22" s="38" t="str">
        <f t="shared" si="4"/>
        <v>0</v>
      </c>
      <c r="BC22" s="38">
        <f t="shared" si="5"/>
        <v>0</v>
      </c>
      <c r="BD22" s="38">
        <f t="shared" si="6"/>
        <v>0</v>
      </c>
      <c r="BL22" s="38" t="str">
        <f t="shared" si="7"/>
        <v/>
      </c>
      <c r="BM22" s="38" t="str">
        <f t="shared" si="8"/>
        <v/>
      </c>
      <c r="BN22" s="38" t="str">
        <f t="shared" si="9"/>
        <v/>
      </c>
      <c r="BO22" s="38" t="str">
        <f t="shared" si="10"/>
        <v/>
      </c>
      <c r="BP22" s="38" t="str">
        <f t="shared" si="11"/>
        <v/>
      </c>
      <c r="BQ22" s="38" t="str">
        <f t="shared" si="12"/>
        <v/>
      </c>
    </row>
    <row r="23" spans="1:69" ht="15.6" x14ac:dyDescent="0.3">
      <c r="A23" s="125"/>
      <c r="B23" s="397" t="str">
        <f>IF(ISBLANK(HLOOKUP($F$10,spelerslijsten!$B$1:$J$22,22,FALSE)),"",HLOOKUP($F$10,spelerslijsten!$B$1:$J$22,22,FALSE))</f>
        <v/>
      </c>
      <c r="C23" s="398"/>
      <c r="D23" s="126"/>
      <c r="E23" s="259" t="str">
        <f>IF(ISBLANK(HLOOKUP($F$10,spelerslijsten!$B$1:$J$22,21,FALSE)),"",HLOOKUP($F$10,spelerslijsten!$B$1:$J$22,21,FALSE))</f>
        <v/>
      </c>
      <c r="F23" s="126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08">
        <f t="shared" si="22"/>
        <v>0</v>
      </c>
      <c r="W23" s="109" t="str">
        <f t="shared" si="13"/>
        <v/>
      </c>
      <c r="X23" s="110" t="str">
        <f t="shared" si="14"/>
        <v/>
      </c>
      <c r="Y23" s="103" t="str">
        <f t="shared" si="15"/>
        <v/>
      </c>
      <c r="Z23" s="111"/>
      <c r="AA23" s="112"/>
      <c r="AB23" s="113" t="str">
        <f t="shared" si="16"/>
        <v>-</v>
      </c>
      <c r="AC23" s="112"/>
      <c r="AD23" s="114"/>
      <c r="AE23" s="115"/>
      <c r="AF23" s="115"/>
      <c r="AG23" s="116"/>
      <c r="AH23" s="117"/>
      <c r="AI23" s="117"/>
      <c r="AJ23" s="342"/>
      <c r="AK23" s="343"/>
      <c r="AL23" s="346"/>
      <c r="AM23" s="347"/>
      <c r="AN23" s="118"/>
      <c r="AO23" s="101" t="str">
        <f t="shared" si="19"/>
        <v/>
      </c>
      <c r="AP23" s="113" t="str">
        <f t="shared" si="20"/>
        <v>-</v>
      </c>
      <c r="AQ23" s="119"/>
      <c r="AR23" s="103" t="str">
        <f t="shared" si="21"/>
        <v/>
      </c>
      <c r="AT23" s="38" t="str">
        <f t="shared" si="17"/>
        <v>W</v>
      </c>
      <c r="AU23" s="38">
        <f t="shared" si="18"/>
        <v>0</v>
      </c>
      <c r="AY23" s="38" t="str">
        <f t="shared" si="1"/>
        <v/>
      </c>
      <c r="AZ23" s="38" t="str">
        <f t="shared" si="2"/>
        <v>0</v>
      </c>
      <c r="BA23" s="38" t="str">
        <f t="shared" si="3"/>
        <v>0</v>
      </c>
      <c r="BB23" s="38" t="str">
        <f t="shared" si="4"/>
        <v>0</v>
      </c>
      <c r="BC23" s="38">
        <f t="shared" si="5"/>
        <v>0</v>
      </c>
      <c r="BD23" s="38">
        <f t="shared" si="6"/>
        <v>0</v>
      </c>
      <c r="BL23" s="38" t="str">
        <f t="shared" si="7"/>
        <v/>
      </c>
      <c r="BM23" s="38" t="str">
        <f t="shared" si="8"/>
        <v/>
      </c>
      <c r="BN23" s="38" t="str">
        <f t="shared" si="9"/>
        <v/>
      </c>
      <c r="BO23" s="38" t="str">
        <f t="shared" si="10"/>
        <v/>
      </c>
      <c r="BP23" s="38" t="str">
        <f t="shared" si="11"/>
        <v/>
      </c>
      <c r="BQ23" s="38" t="str">
        <f t="shared" si="12"/>
        <v/>
      </c>
    </row>
    <row r="24" spans="1:69" ht="16.2" thickBot="1" x14ac:dyDescent="0.35">
      <c r="A24" s="71" t="s">
        <v>67</v>
      </c>
      <c r="B24" s="72"/>
      <c r="C24" s="72"/>
      <c r="D24" s="72"/>
      <c r="E24" s="72"/>
      <c r="F24" s="72"/>
      <c r="G24" s="72"/>
      <c r="I24" s="399">
        <f>HLOOKUP(F10,spelerslijsten!B1:J25,25,FALSE)</f>
        <v>2</v>
      </c>
      <c r="J24" s="400"/>
      <c r="K24" s="74" t="s">
        <v>23</v>
      </c>
      <c r="L24" s="72"/>
      <c r="M24" s="72"/>
      <c r="N24" s="129" t="str">
        <f>HLOOKUP(F10,spelerslijsten!B1:J25,23,FALSE)</f>
        <v>Mieke Reijnders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30"/>
      <c r="Z24" s="131"/>
      <c r="AA24" s="132"/>
      <c r="AB24" s="133" t="str">
        <f t="shared" si="16"/>
        <v>-</v>
      </c>
      <c r="AC24" s="132"/>
      <c r="AD24" s="134"/>
      <c r="AE24" s="135"/>
      <c r="AF24" s="135"/>
      <c r="AG24" s="136"/>
      <c r="AH24" s="137"/>
      <c r="AI24" s="137"/>
      <c r="AJ24" s="342"/>
      <c r="AK24" s="343"/>
      <c r="AL24" s="350"/>
      <c r="AM24" s="351"/>
      <c r="AN24" s="138"/>
      <c r="AO24" s="101" t="str">
        <f t="shared" si="19"/>
        <v/>
      </c>
      <c r="AP24" s="113" t="str">
        <f t="shared" si="20"/>
        <v>-</v>
      </c>
      <c r="AQ24" s="119"/>
      <c r="AR24" s="103" t="str">
        <f t="shared" si="21"/>
        <v/>
      </c>
      <c r="AY24" s="38" t="str">
        <f t="shared" si="1"/>
        <v/>
      </c>
      <c r="AZ24" s="38" t="str">
        <f t="shared" si="2"/>
        <v>0</v>
      </c>
      <c r="BA24" s="38" t="str">
        <f t="shared" si="3"/>
        <v>0</v>
      </c>
      <c r="BB24" s="38" t="str">
        <f t="shared" si="4"/>
        <v>0</v>
      </c>
      <c r="BC24" s="38">
        <f t="shared" si="5"/>
        <v>0</v>
      </c>
      <c r="BD24" s="38">
        <f t="shared" si="6"/>
        <v>0</v>
      </c>
      <c r="BL24" s="38" t="str">
        <f t="shared" si="7"/>
        <v/>
      </c>
      <c r="BM24" s="38" t="str">
        <f t="shared" si="8"/>
        <v/>
      </c>
      <c r="BN24" s="38" t="str">
        <f t="shared" si="9"/>
        <v/>
      </c>
      <c r="BO24" s="38" t="str">
        <f t="shared" si="10"/>
        <v/>
      </c>
      <c r="BP24" s="38" t="str">
        <f t="shared" si="11"/>
        <v/>
      </c>
      <c r="BQ24" s="38" t="str">
        <f t="shared" si="12"/>
        <v/>
      </c>
    </row>
    <row r="25" spans="1:69" ht="15" customHeight="1" x14ac:dyDescent="0.3">
      <c r="A25" s="78" t="s">
        <v>60</v>
      </c>
      <c r="B25" s="79"/>
      <c r="C25" s="79"/>
      <c r="D25" s="79"/>
      <c r="E25" s="79"/>
      <c r="F25" s="356" t="str">
        <f>+AC7</f>
        <v>VZ&amp;PC Nautilus 2</v>
      </c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7"/>
      <c r="Z25" s="139"/>
      <c r="AA25" s="140"/>
      <c r="AB25" s="141" t="str">
        <f t="shared" si="16"/>
        <v>-</v>
      </c>
      <c r="AC25" s="140"/>
      <c r="AD25" s="142"/>
      <c r="AE25" s="143"/>
      <c r="AF25" s="143"/>
      <c r="AG25" s="144"/>
      <c r="AH25" s="145"/>
      <c r="AI25" s="145"/>
      <c r="AJ25" s="342"/>
      <c r="AK25" s="343"/>
      <c r="AL25" s="346"/>
      <c r="AM25" s="347"/>
      <c r="AN25" s="146"/>
      <c r="AO25" s="101" t="str">
        <f t="shared" si="19"/>
        <v/>
      </c>
      <c r="AP25" s="113" t="str">
        <f t="shared" si="20"/>
        <v>-</v>
      </c>
      <c r="AQ25" s="119"/>
      <c r="AR25" s="103" t="str">
        <f t="shared" si="21"/>
        <v/>
      </c>
      <c r="AY25" s="38" t="str">
        <f t="shared" si="1"/>
        <v/>
      </c>
      <c r="AZ25" s="38" t="str">
        <f t="shared" si="2"/>
        <v>0</v>
      </c>
      <c r="BA25" s="38" t="str">
        <f t="shared" si="3"/>
        <v>0</v>
      </c>
      <c r="BB25" s="38" t="str">
        <f t="shared" si="4"/>
        <v>0</v>
      </c>
      <c r="BC25" s="38">
        <f t="shared" si="5"/>
        <v>0</v>
      </c>
      <c r="BD25" s="38">
        <f t="shared" si="6"/>
        <v>0</v>
      </c>
      <c r="BL25" s="38" t="str">
        <f t="shared" si="7"/>
        <v/>
      </c>
      <c r="BM25" s="38" t="str">
        <f t="shared" si="8"/>
        <v/>
      </c>
      <c r="BN25" s="38" t="str">
        <f t="shared" si="9"/>
        <v/>
      </c>
      <c r="BO25" s="38" t="str">
        <f t="shared" si="10"/>
        <v/>
      </c>
      <c r="BP25" s="38" t="str">
        <f t="shared" si="11"/>
        <v/>
      </c>
      <c r="BQ25" s="38" t="str">
        <f t="shared" si="12"/>
        <v/>
      </c>
    </row>
    <row r="26" spans="1:69" ht="15" customHeight="1" x14ac:dyDescent="0.3">
      <c r="A26" s="393" t="s">
        <v>24</v>
      </c>
      <c r="B26" s="394"/>
      <c r="C26" s="394"/>
      <c r="D26" s="394"/>
      <c r="E26" s="81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9"/>
      <c r="Z26" s="139"/>
      <c r="AA26" s="140"/>
      <c r="AB26" s="141" t="s">
        <v>16</v>
      </c>
      <c r="AC26" s="140"/>
      <c r="AD26" s="142"/>
      <c r="AE26" s="143"/>
      <c r="AF26" s="143"/>
      <c r="AG26" s="144"/>
      <c r="AH26" s="145"/>
      <c r="AI26" s="145"/>
      <c r="AJ26" s="342"/>
      <c r="AK26" s="343"/>
      <c r="AL26" s="346"/>
      <c r="AM26" s="347"/>
      <c r="AN26" s="146"/>
      <c r="AO26" s="101" t="str">
        <f t="shared" si="19"/>
        <v/>
      </c>
      <c r="AP26" s="113" t="str">
        <f t="shared" si="20"/>
        <v>-</v>
      </c>
      <c r="AQ26" s="119"/>
      <c r="AR26" s="103" t="str">
        <f t="shared" si="21"/>
        <v/>
      </c>
      <c r="AY26" s="38" t="str">
        <f t="shared" si="1"/>
        <v/>
      </c>
      <c r="AZ26" s="38" t="str">
        <f t="shared" si="2"/>
        <v>0</v>
      </c>
      <c r="BA26" s="38" t="str">
        <f t="shared" si="3"/>
        <v>0</v>
      </c>
      <c r="BB26" s="38" t="str">
        <f t="shared" si="4"/>
        <v>0</v>
      </c>
      <c r="BC26" s="38">
        <f t="shared" si="5"/>
        <v>0</v>
      </c>
      <c r="BD26" s="38">
        <f t="shared" si="6"/>
        <v>0</v>
      </c>
      <c r="BL26" s="38" t="str">
        <f t="shared" si="7"/>
        <v/>
      </c>
      <c r="BM26" s="38" t="str">
        <f t="shared" si="8"/>
        <v/>
      </c>
      <c r="BN26" s="38" t="str">
        <f t="shared" si="9"/>
        <v/>
      </c>
      <c r="BO26" s="38" t="str">
        <f t="shared" si="10"/>
        <v/>
      </c>
      <c r="BP26" s="38" t="str">
        <f t="shared" si="11"/>
        <v/>
      </c>
      <c r="BQ26" s="38" t="str">
        <f t="shared" si="12"/>
        <v/>
      </c>
    </row>
    <row r="27" spans="1:69" ht="15.6" x14ac:dyDescent="0.3">
      <c r="A27" s="393"/>
      <c r="B27" s="394"/>
      <c r="C27" s="394"/>
      <c r="D27" s="394"/>
      <c r="E27" s="81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9"/>
      <c r="Z27" s="139"/>
      <c r="AA27" s="140"/>
      <c r="AB27" s="141" t="s">
        <v>16</v>
      </c>
      <c r="AC27" s="140"/>
      <c r="AD27" s="142"/>
      <c r="AE27" s="143"/>
      <c r="AF27" s="143"/>
      <c r="AG27" s="144"/>
      <c r="AH27" s="145"/>
      <c r="AI27" s="145"/>
      <c r="AJ27" s="342"/>
      <c r="AK27" s="343"/>
      <c r="AL27" s="346"/>
      <c r="AM27" s="347"/>
      <c r="AN27" s="146"/>
      <c r="AO27" s="101" t="str">
        <f t="shared" si="19"/>
        <v/>
      </c>
      <c r="AP27" s="113" t="str">
        <f t="shared" si="20"/>
        <v>-</v>
      </c>
      <c r="AQ27" s="119"/>
      <c r="AR27" s="103" t="str">
        <f t="shared" si="21"/>
        <v/>
      </c>
      <c r="AY27" s="38" t="str">
        <f t="shared" si="1"/>
        <v/>
      </c>
      <c r="AZ27" s="38" t="str">
        <f t="shared" si="2"/>
        <v>0</v>
      </c>
      <c r="BA27" s="38" t="str">
        <f t="shared" si="3"/>
        <v>0</v>
      </c>
      <c r="BB27" s="38" t="str">
        <f t="shared" si="4"/>
        <v>0</v>
      </c>
      <c r="BC27" s="38">
        <f t="shared" si="5"/>
        <v>0</v>
      </c>
      <c r="BD27" s="38">
        <f t="shared" si="6"/>
        <v>0</v>
      </c>
      <c r="BL27" s="38" t="str">
        <f t="shared" si="7"/>
        <v/>
      </c>
      <c r="BM27" s="38" t="str">
        <f t="shared" si="8"/>
        <v/>
      </c>
      <c r="BN27" s="38" t="str">
        <f t="shared" si="9"/>
        <v/>
      </c>
      <c r="BO27" s="38" t="str">
        <f t="shared" si="10"/>
        <v/>
      </c>
      <c r="BP27" s="38" t="str">
        <f t="shared" si="11"/>
        <v/>
      </c>
      <c r="BQ27" s="38" t="str">
        <f t="shared" si="12"/>
        <v/>
      </c>
    </row>
    <row r="28" spans="1:69" ht="15.6" x14ac:dyDescent="0.3">
      <c r="A28" s="395"/>
      <c r="B28" s="396"/>
      <c r="C28" s="396"/>
      <c r="D28" s="396"/>
      <c r="E28" s="81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1"/>
      <c r="Z28" s="147"/>
      <c r="AA28" s="140"/>
      <c r="AB28" s="148" t="str">
        <f>+AB25</f>
        <v>-</v>
      </c>
      <c r="AC28" s="140"/>
      <c r="AD28" s="142"/>
      <c r="AE28" s="143"/>
      <c r="AF28" s="143"/>
      <c r="AG28" s="144"/>
      <c r="AH28" s="145"/>
      <c r="AI28" s="145"/>
      <c r="AJ28" s="342"/>
      <c r="AK28" s="343"/>
      <c r="AL28" s="346"/>
      <c r="AM28" s="347"/>
      <c r="AN28" s="146"/>
      <c r="AO28" s="101" t="str">
        <f t="shared" si="19"/>
        <v/>
      </c>
      <c r="AP28" s="113" t="str">
        <f t="shared" si="20"/>
        <v>-</v>
      </c>
      <c r="AQ28" s="119"/>
      <c r="AR28" s="103" t="str">
        <f t="shared" si="21"/>
        <v/>
      </c>
      <c r="AY28" s="38" t="str">
        <f t="shared" si="1"/>
        <v/>
      </c>
      <c r="AZ28" s="38" t="str">
        <f t="shared" si="2"/>
        <v>0</v>
      </c>
      <c r="BA28" s="38" t="str">
        <f t="shared" si="3"/>
        <v>0</v>
      </c>
      <c r="BB28" s="38" t="str">
        <f t="shared" si="4"/>
        <v>0</v>
      </c>
      <c r="BC28" s="38">
        <f t="shared" si="5"/>
        <v>0</v>
      </c>
      <c r="BD28" s="38">
        <f t="shared" si="6"/>
        <v>0</v>
      </c>
      <c r="BL28" s="38" t="str">
        <f t="shared" si="7"/>
        <v/>
      </c>
      <c r="BM28" s="38" t="str">
        <f t="shared" si="8"/>
        <v/>
      </c>
      <c r="BN28" s="38" t="str">
        <f t="shared" si="9"/>
        <v/>
      </c>
      <c r="BO28" s="38" t="str">
        <f t="shared" si="10"/>
        <v/>
      </c>
      <c r="BP28" s="38" t="str">
        <f t="shared" si="11"/>
        <v/>
      </c>
      <c r="BQ28" s="38" t="str">
        <f t="shared" si="12"/>
        <v/>
      </c>
    </row>
    <row r="29" spans="1:69" ht="15.6" x14ac:dyDescent="0.3">
      <c r="A29" s="86" t="s">
        <v>0</v>
      </c>
      <c r="B29" s="87" t="s">
        <v>1</v>
      </c>
      <c r="C29" s="64"/>
      <c r="D29" s="89"/>
      <c r="E29" s="88" t="s">
        <v>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90"/>
      <c r="V29" s="91" t="s">
        <v>3</v>
      </c>
      <c r="W29" s="91" t="s">
        <v>4</v>
      </c>
      <c r="X29" s="91" t="s">
        <v>5</v>
      </c>
      <c r="Y29" s="92" t="s">
        <v>6</v>
      </c>
      <c r="Z29" s="111"/>
      <c r="AA29" s="149"/>
      <c r="AB29" s="150" t="str">
        <f t="shared" si="16"/>
        <v>-</v>
      </c>
      <c r="AC29" s="149"/>
      <c r="AD29" s="151"/>
      <c r="AE29" s="152"/>
      <c r="AF29" s="152"/>
      <c r="AG29" s="153"/>
      <c r="AH29" s="154"/>
      <c r="AI29" s="154"/>
      <c r="AJ29" s="342"/>
      <c r="AK29" s="343"/>
      <c r="AL29" s="348"/>
      <c r="AM29" s="349"/>
      <c r="AN29" s="155"/>
      <c r="AO29" s="101" t="str">
        <f t="shared" si="19"/>
        <v/>
      </c>
      <c r="AP29" s="113" t="str">
        <f t="shared" si="20"/>
        <v>-</v>
      </c>
      <c r="AQ29" s="119"/>
      <c r="AR29" s="103" t="str">
        <f t="shared" si="21"/>
        <v/>
      </c>
      <c r="AY29" s="38" t="str">
        <f t="shared" si="1"/>
        <v/>
      </c>
      <c r="AZ29" s="38" t="str">
        <f t="shared" si="2"/>
        <v>0</v>
      </c>
      <c r="BA29" s="38" t="str">
        <f t="shared" si="3"/>
        <v>0</v>
      </c>
      <c r="BB29" s="38" t="str">
        <f t="shared" si="4"/>
        <v>0</v>
      </c>
      <c r="BC29" s="38">
        <f t="shared" si="5"/>
        <v>0</v>
      </c>
      <c r="BD29" s="38">
        <f t="shared" si="6"/>
        <v>0</v>
      </c>
      <c r="BL29" s="38" t="str">
        <f t="shared" si="7"/>
        <v/>
      </c>
      <c r="BM29" s="38" t="str">
        <f t="shared" si="8"/>
        <v/>
      </c>
      <c r="BN29" s="38" t="str">
        <f t="shared" si="9"/>
        <v/>
      </c>
      <c r="BO29" s="38" t="str">
        <f t="shared" si="10"/>
        <v/>
      </c>
      <c r="BP29" s="38" t="str">
        <f t="shared" si="11"/>
        <v/>
      </c>
      <c r="BQ29" s="38" t="str">
        <f t="shared" si="12"/>
        <v/>
      </c>
    </row>
    <row r="30" spans="1:69" ht="15.6" x14ac:dyDescent="0.3">
      <c r="A30" s="104" t="s">
        <v>265</v>
      </c>
      <c r="B30" s="397">
        <f>IF(ISBLANK(HLOOKUP($F$25,spelerslijsten!$B$1:$J$22,4,FALSE)),"",HLOOKUP($F$25,spelerslijsten!$B$1:$J$22,4,FALSE))</f>
        <v>2</v>
      </c>
      <c r="C30" s="398"/>
      <c r="D30" s="105"/>
      <c r="E30" s="106" t="str">
        <f>IF(ISBLANK(HLOOKUP($F$25,spelerslijsten!$B$1:$J$22,3,FALSE)),"",HLOOKUP($F$25,spelerslijsten!$B$1:$J$22,3,FALSE))</f>
        <v>Willy van Grunsven</v>
      </c>
      <c r="F30" s="105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8">
        <f t="shared" ref="V30:V39" si="23">SUMIF($AY$13:$AY$46,AT30,$BC$13:$BC$46)</f>
        <v>0</v>
      </c>
      <c r="W30" s="109" t="str">
        <f>IF(AU30&gt;0,"x","")</f>
        <v/>
      </c>
      <c r="X30" s="110" t="str">
        <f>IF(AU30&gt;1,"x","")</f>
        <v/>
      </c>
      <c r="Y30" s="103" t="str">
        <f>IF(AU30&gt;2,"x","")</f>
        <v/>
      </c>
      <c r="Z30" s="111"/>
      <c r="AA30" s="112"/>
      <c r="AB30" s="113" t="str">
        <f t="shared" si="16"/>
        <v>-</v>
      </c>
      <c r="AC30" s="112"/>
      <c r="AD30" s="114"/>
      <c r="AE30" s="115"/>
      <c r="AF30" s="115"/>
      <c r="AG30" s="116"/>
      <c r="AH30" s="117"/>
      <c r="AI30" s="117"/>
      <c r="AJ30" s="342"/>
      <c r="AK30" s="343"/>
      <c r="AL30" s="346"/>
      <c r="AM30" s="347"/>
      <c r="AN30" s="118"/>
      <c r="AO30" s="101" t="str">
        <f t="shared" si="19"/>
        <v/>
      </c>
      <c r="AP30" s="113" t="str">
        <f t="shared" si="20"/>
        <v>-</v>
      </c>
      <c r="AQ30" s="119"/>
      <c r="AR30" s="103" t="str">
        <f t="shared" si="21"/>
        <v/>
      </c>
      <c r="AT30" s="38" t="str">
        <f>CONCATENATE($AV$11&amp;B30)</f>
        <v>B2</v>
      </c>
      <c r="AU30" s="38">
        <f t="shared" si="18"/>
        <v>0</v>
      </c>
      <c r="AY30" s="38" t="str">
        <f t="shared" si="1"/>
        <v/>
      </c>
      <c r="AZ30" s="38" t="str">
        <f t="shared" si="2"/>
        <v>0</v>
      </c>
      <c r="BA30" s="38" t="str">
        <f t="shared" si="3"/>
        <v>0</v>
      </c>
      <c r="BB30" s="38" t="str">
        <f t="shared" si="4"/>
        <v>0</v>
      </c>
      <c r="BC30" s="38">
        <f t="shared" si="5"/>
        <v>0</v>
      </c>
      <c r="BD30" s="38">
        <f t="shared" si="6"/>
        <v>0</v>
      </c>
      <c r="BL30" s="38" t="str">
        <f t="shared" si="7"/>
        <v/>
      </c>
      <c r="BM30" s="38" t="str">
        <f t="shared" si="8"/>
        <v/>
      </c>
      <c r="BN30" s="38" t="str">
        <f t="shared" si="9"/>
        <v/>
      </c>
      <c r="BO30" s="38" t="str">
        <f t="shared" si="10"/>
        <v/>
      </c>
      <c r="BP30" s="38" t="str">
        <f t="shared" si="11"/>
        <v/>
      </c>
      <c r="BQ30" s="38" t="str">
        <f t="shared" si="12"/>
        <v/>
      </c>
    </row>
    <row r="31" spans="1:69" ht="15.6" x14ac:dyDescent="0.3">
      <c r="A31" s="120" t="s">
        <v>265</v>
      </c>
      <c r="B31" s="397">
        <f>IF(ISBLANK(HLOOKUP($F$25,spelerslijsten!$B$1:$J$22,6,FALSE)),"",HLOOKUP($F$25,spelerslijsten!$B$1:$J$22,6,FALSE))</f>
        <v>3</v>
      </c>
      <c r="C31" s="398"/>
      <c r="D31" s="121"/>
      <c r="E31" s="122" t="str">
        <f>IF(ISBLANK(HLOOKUP($F$25,spelerslijsten!$B$1:$J$22,5,FALSE)),"",HLOOKUP($F$25,spelerslijsten!$B$1:$J$22,5,FALSE))</f>
        <v>Manuel Bastiaans</v>
      </c>
      <c r="F31" s="12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08">
        <f t="shared" si="23"/>
        <v>0</v>
      </c>
      <c r="W31" s="109" t="str">
        <f t="shared" ref="W31:W39" si="24">IF(AU31&gt;0,"x","")</f>
        <v/>
      </c>
      <c r="X31" s="110" t="str">
        <f t="shared" ref="X31:X39" si="25">IF(AU31&gt;1,"x","")</f>
        <v/>
      </c>
      <c r="Y31" s="103" t="str">
        <f t="shared" ref="Y31:Y39" si="26">IF(AU31&gt;2,"x","")</f>
        <v/>
      </c>
      <c r="Z31" s="111"/>
      <c r="AA31" s="112"/>
      <c r="AB31" s="113" t="str">
        <f t="shared" si="16"/>
        <v>-</v>
      </c>
      <c r="AC31" s="112"/>
      <c r="AD31" s="114"/>
      <c r="AE31" s="115"/>
      <c r="AF31" s="115"/>
      <c r="AG31" s="116"/>
      <c r="AH31" s="117"/>
      <c r="AI31" s="117"/>
      <c r="AJ31" s="342"/>
      <c r="AK31" s="343"/>
      <c r="AL31" s="346"/>
      <c r="AM31" s="347"/>
      <c r="AN31" s="118"/>
      <c r="AO31" s="101" t="str">
        <f t="shared" si="19"/>
        <v/>
      </c>
      <c r="AP31" s="113" t="str">
        <f t="shared" si="20"/>
        <v>-</v>
      </c>
      <c r="AQ31" s="119"/>
      <c r="AR31" s="103" t="str">
        <f t="shared" si="21"/>
        <v/>
      </c>
      <c r="AT31" s="38" t="str">
        <f t="shared" ref="AT31:AT39" si="27">CONCATENATE($AV$11&amp;B31)</f>
        <v>B3</v>
      </c>
      <c r="AU31" s="38">
        <f t="shared" si="18"/>
        <v>0</v>
      </c>
      <c r="AY31" s="38" t="str">
        <f t="shared" si="1"/>
        <v/>
      </c>
      <c r="AZ31" s="38" t="str">
        <f t="shared" si="2"/>
        <v>0</v>
      </c>
      <c r="BA31" s="38" t="str">
        <f t="shared" si="3"/>
        <v>0</v>
      </c>
      <c r="BB31" s="38" t="str">
        <f t="shared" si="4"/>
        <v>0</v>
      </c>
      <c r="BC31" s="38">
        <f t="shared" si="5"/>
        <v>0</v>
      </c>
      <c r="BD31" s="38">
        <f t="shared" si="6"/>
        <v>0</v>
      </c>
      <c r="BL31" s="38" t="str">
        <f t="shared" si="7"/>
        <v/>
      </c>
      <c r="BM31" s="38" t="str">
        <f t="shared" si="8"/>
        <v/>
      </c>
      <c r="BN31" s="38" t="str">
        <f t="shared" si="9"/>
        <v/>
      </c>
      <c r="BO31" s="38" t="str">
        <f t="shared" si="10"/>
        <v/>
      </c>
      <c r="BP31" s="38" t="str">
        <f t="shared" si="11"/>
        <v/>
      </c>
      <c r="BQ31" s="38" t="str">
        <f t="shared" si="12"/>
        <v/>
      </c>
    </row>
    <row r="32" spans="1:69" ht="15.6" x14ac:dyDescent="0.3">
      <c r="A32" s="124" t="s">
        <v>265</v>
      </c>
      <c r="B32" s="397">
        <f>IF(ISBLANK(HLOOKUP($F$25,spelerslijsten!$B$1:$J$22,8,FALSE)),"",HLOOKUP($F$25,spelerslijsten!$B$1:$J$22,8,FALSE))</f>
        <v>4</v>
      </c>
      <c r="C32" s="398"/>
      <c r="D32" s="121"/>
      <c r="E32" s="122" t="str">
        <f>IF(ISBLANK(HLOOKUP($F$25,spelerslijsten!$B$1:$J$22,7,FALSE)),"",HLOOKUP($F$25,spelerslijsten!$B$1:$J$22,7,FALSE))</f>
        <v>Marga Schouten</v>
      </c>
      <c r="F32" s="12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08">
        <f t="shared" si="23"/>
        <v>0</v>
      </c>
      <c r="W32" s="109" t="str">
        <f t="shared" si="24"/>
        <v/>
      </c>
      <c r="X32" s="110" t="str">
        <f t="shared" si="25"/>
        <v/>
      </c>
      <c r="Y32" s="103" t="str">
        <f t="shared" si="26"/>
        <v/>
      </c>
      <c r="Z32" s="111"/>
      <c r="AA32" s="112"/>
      <c r="AB32" s="113" t="str">
        <f t="shared" si="16"/>
        <v>-</v>
      </c>
      <c r="AC32" s="112"/>
      <c r="AD32" s="114"/>
      <c r="AE32" s="115"/>
      <c r="AF32" s="115"/>
      <c r="AG32" s="116"/>
      <c r="AH32" s="117"/>
      <c r="AI32" s="117"/>
      <c r="AJ32" s="342"/>
      <c r="AK32" s="343"/>
      <c r="AL32" s="346"/>
      <c r="AM32" s="347"/>
      <c r="AN32" s="118"/>
      <c r="AO32" s="101" t="str">
        <f t="shared" si="19"/>
        <v/>
      </c>
      <c r="AP32" s="113" t="str">
        <f t="shared" si="20"/>
        <v>-</v>
      </c>
      <c r="AQ32" s="119"/>
      <c r="AR32" s="103" t="str">
        <f t="shared" si="21"/>
        <v/>
      </c>
      <c r="AT32" s="38" t="str">
        <f t="shared" si="27"/>
        <v>B4</v>
      </c>
      <c r="AU32" s="38">
        <f t="shared" si="18"/>
        <v>0</v>
      </c>
      <c r="AY32" s="38" t="str">
        <f t="shared" si="1"/>
        <v/>
      </c>
      <c r="AZ32" s="38" t="str">
        <f t="shared" si="2"/>
        <v>0</v>
      </c>
      <c r="BA32" s="38" t="str">
        <f t="shared" si="3"/>
        <v>0</v>
      </c>
      <c r="BB32" s="38" t="str">
        <f t="shared" si="4"/>
        <v>0</v>
      </c>
      <c r="BC32" s="38">
        <f t="shared" si="5"/>
        <v>0</v>
      </c>
      <c r="BD32" s="38">
        <f t="shared" si="6"/>
        <v>0</v>
      </c>
      <c r="BL32" s="38" t="str">
        <f t="shared" si="7"/>
        <v/>
      </c>
      <c r="BM32" s="38" t="str">
        <f t="shared" si="8"/>
        <v/>
      </c>
      <c r="BN32" s="38" t="str">
        <f t="shared" si="9"/>
        <v/>
      </c>
      <c r="BO32" s="38" t="str">
        <f t="shared" si="10"/>
        <v/>
      </c>
      <c r="BP32" s="38" t="str">
        <f t="shared" si="11"/>
        <v/>
      </c>
      <c r="BQ32" s="38" t="str">
        <f t="shared" si="12"/>
        <v/>
      </c>
    </row>
    <row r="33" spans="1:69" ht="15.6" x14ac:dyDescent="0.3">
      <c r="A33" s="124" t="s">
        <v>265</v>
      </c>
      <c r="B33" s="397">
        <f>IF(ISBLANK(HLOOKUP($F$25,spelerslijsten!$B$1:$J$22,10,FALSE)),"",HLOOKUP($F$25,spelerslijsten!$B$1:$J$22,10,FALSE))</f>
        <v>6</v>
      </c>
      <c r="C33" s="398"/>
      <c r="D33" s="121"/>
      <c r="E33" s="122" t="str">
        <f>IF(ISBLANK(HLOOKUP($F$25,spelerslijsten!$B$1:$J$22,9,FALSE)),"",HLOOKUP($F$25,spelerslijsten!$B$1:$J$22,9,FALSE))</f>
        <v>Anja Braken</v>
      </c>
      <c r="F33" s="12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08">
        <f t="shared" si="23"/>
        <v>0</v>
      </c>
      <c r="W33" s="109" t="str">
        <f t="shared" si="24"/>
        <v/>
      </c>
      <c r="X33" s="110" t="str">
        <f t="shared" si="25"/>
        <v/>
      </c>
      <c r="Y33" s="103" t="str">
        <f t="shared" si="26"/>
        <v/>
      </c>
      <c r="Z33" s="111"/>
      <c r="AA33" s="112"/>
      <c r="AB33" s="113" t="str">
        <f t="shared" si="16"/>
        <v>-</v>
      </c>
      <c r="AC33" s="112"/>
      <c r="AD33" s="114"/>
      <c r="AE33" s="115"/>
      <c r="AF33" s="115"/>
      <c r="AG33" s="116"/>
      <c r="AH33" s="117"/>
      <c r="AI33" s="117"/>
      <c r="AJ33" s="342"/>
      <c r="AK33" s="343"/>
      <c r="AL33" s="346"/>
      <c r="AM33" s="347"/>
      <c r="AN33" s="118"/>
      <c r="AO33" s="101" t="str">
        <f t="shared" si="19"/>
        <v/>
      </c>
      <c r="AP33" s="113" t="str">
        <f t="shared" si="20"/>
        <v>-</v>
      </c>
      <c r="AQ33" s="119"/>
      <c r="AR33" s="103" t="str">
        <f t="shared" si="21"/>
        <v/>
      </c>
      <c r="AT33" s="38" t="str">
        <f t="shared" si="27"/>
        <v>B6</v>
      </c>
      <c r="AU33" s="38">
        <f t="shared" si="18"/>
        <v>0</v>
      </c>
      <c r="AY33" s="38" t="str">
        <f t="shared" si="1"/>
        <v/>
      </c>
      <c r="AZ33" s="38" t="str">
        <f t="shared" si="2"/>
        <v>0</v>
      </c>
      <c r="BA33" s="38" t="str">
        <f t="shared" si="3"/>
        <v>0</v>
      </c>
      <c r="BB33" s="38" t="str">
        <f t="shared" si="4"/>
        <v>0</v>
      </c>
      <c r="BC33" s="38">
        <f t="shared" si="5"/>
        <v>0</v>
      </c>
      <c r="BD33" s="38">
        <f t="shared" si="6"/>
        <v>0</v>
      </c>
      <c r="BL33" s="38" t="str">
        <f t="shared" si="7"/>
        <v/>
      </c>
      <c r="BM33" s="38" t="str">
        <f t="shared" si="8"/>
        <v/>
      </c>
      <c r="BN33" s="38" t="str">
        <f t="shared" si="9"/>
        <v/>
      </c>
      <c r="BO33" s="38" t="str">
        <f t="shared" si="10"/>
        <v/>
      </c>
      <c r="BP33" s="38" t="str">
        <f t="shared" si="11"/>
        <v/>
      </c>
      <c r="BQ33" s="38" t="str">
        <f t="shared" si="12"/>
        <v/>
      </c>
    </row>
    <row r="34" spans="1:69" ht="15.6" x14ac:dyDescent="0.3">
      <c r="A34" s="124" t="s">
        <v>265</v>
      </c>
      <c r="B34" s="397">
        <f>IF(ISBLANK(HLOOKUP($F$25,spelerslijsten!$B$1:$J$22,12,FALSE)),"",HLOOKUP($F$25,spelerslijsten!$B$1:$J$22,12,FALSE))</f>
        <v>7</v>
      </c>
      <c r="C34" s="398"/>
      <c r="D34" s="121"/>
      <c r="E34" s="122" t="str">
        <f>IF(ISBLANK(HLOOKUP($F$25,spelerslijsten!$B$1:$J$22,11,FALSE)),"",HLOOKUP($F$25,spelerslijsten!$B$1:$J$22,11,FALSE))</f>
        <v>Mieke van Gerwen</v>
      </c>
      <c r="F34" s="12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08">
        <f t="shared" si="23"/>
        <v>1</v>
      </c>
      <c r="W34" s="109" t="str">
        <f t="shared" si="24"/>
        <v/>
      </c>
      <c r="X34" s="110" t="str">
        <f t="shared" si="25"/>
        <v/>
      </c>
      <c r="Y34" s="103" t="str">
        <f t="shared" si="26"/>
        <v/>
      </c>
      <c r="Z34" s="111"/>
      <c r="AA34" s="112"/>
      <c r="AB34" s="113" t="str">
        <f t="shared" si="16"/>
        <v>-</v>
      </c>
      <c r="AC34" s="112"/>
      <c r="AD34" s="114"/>
      <c r="AE34" s="115"/>
      <c r="AF34" s="115"/>
      <c r="AG34" s="116"/>
      <c r="AH34" s="117"/>
      <c r="AI34" s="117"/>
      <c r="AJ34" s="342"/>
      <c r="AK34" s="343"/>
      <c r="AL34" s="346"/>
      <c r="AM34" s="347"/>
      <c r="AN34" s="118"/>
      <c r="AO34" s="101" t="str">
        <f t="shared" si="19"/>
        <v/>
      </c>
      <c r="AP34" s="113" t="str">
        <f t="shared" si="20"/>
        <v>-</v>
      </c>
      <c r="AQ34" s="119"/>
      <c r="AR34" s="103" t="str">
        <f t="shared" si="21"/>
        <v/>
      </c>
      <c r="AT34" s="38" t="str">
        <f t="shared" si="27"/>
        <v>B7</v>
      </c>
      <c r="AU34" s="38">
        <f t="shared" si="18"/>
        <v>0</v>
      </c>
      <c r="AY34" s="38" t="str">
        <f t="shared" si="1"/>
        <v/>
      </c>
      <c r="AZ34" s="38" t="str">
        <f t="shared" si="2"/>
        <v>0</v>
      </c>
      <c r="BA34" s="38" t="str">
        <f t="shared" si="3"/>
        <v>0</v>
      </c>
      <c r="BB34" s="38" t="str">
        <f t="shared" si="4"/>
        <v>0</v>
      </c>
      <c r="BC34" s="38">
        <f t="shared" si="5"/>
        <v>0</v>
      </c>
      <c r="BD34" s="38">
        <f t="shared" si="6"/>
        <v>0</v>
      </c>
      <c r="BL34" s="38" t="str">
        <f t="shared" si="7"/>
        <v/>
      </c>
      <c r="BM34" s="38" t="str">
        <f t="shared" si="8"/>
        <v/>
      </c>
      <c r="BN34" s="38" t="str">
        <f t="shared" si="9"/>
        <v/>
      </c>
      <c r="BO34" s="38" t="str">
        <f t="shared" si="10"/>
        <v/>
      </c>
      <c r="BP34" s="38" t="str">
        <f t="shared" si="11"/>
        <v/>
      </c>
      <c r="BQ34" s="38" t="str">
        <f t="shared" si="12"/>
        <v/>
      </c>
    </row>
    <row r="35" spans="1:69" ht="15.6" x14ac:dyDescent="0.3">
      <c r="A35" s="124" t="s">
        <v>265</v>
      </c>
      <c r="B35" s="397">
        <f>IF(ISBLANK(HLOOKUP($F$25,spelerslijsten!$B$1:$J$22,14,FALSE)),"",HLOOKUP($F$25,spelerslijsten!$B$1:$J$22,14,FALSE))</f>
        <v>8</v>
      </c>
      <c r="C35" s="398"/>
      <c r="D35" s="121"/>
      <c r="E35" s="122" t="str">
        <f>IF(ISBLANK(HLOOKUP($F$25,spelerslijsten!$B$1:$J$22,13,FALSE)),"",HLOOKUP($F$25,spelerslijsten!$B$1:$J$22,13,FALSE))</f>
        <v>Susan van Wanrooy</v>
      </c>
      <c r="F35" s="12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08">
        <f t="shared" si="23"/>
        <v>0</v>
      </c>
      <c r="W35" s="109" t="str">
        <f t="shared" si="24"/>
        <v/>
      </c>
      <c r="X35" s="110" t="str">
        <f t="shared" si="25"/>
        <v/>
      </c>
      <c r="Y35" s="103" t="str">
        <f t="shared" si="26"/>
        <v/>
      </c>
      <c r="Z35" s="111"/>
      <c r="AA35" s="112"/>
      <c r="AB35" s="113" t="str">
        <f t="shared" si="16"/>
        <v>-</v>
      </c>
      <c r="AC35" s="112"/>
      <c r="AD35" s="114"/>
      <c r="AE35" s="115"/>
      <c r="AF35" s="115"/>
      <c r="AG35" s="116"/>
      <c r="AH35" s="117"/>
      <c r="AI35" s="117"/>
      <c r="AJ35" s="342"/>
      <c r="AK35" s="343"/>
      <c r="AL35" s="346"/>
      <c r="AM35" s="347"/>
      <c r="AN35" s="118"/>
      <c r="AO35" s="101" t="str">
        <f t="shared" si="19"/>
        <v/>
      </c>
      <c r="AP35" s="113" t="str">
        <f t="shared" si="20"/>
        <v>-</v>
      </c>
      <c r="AQ35" s="119"/>
      <c r="AR35" s="103" t="str">
        <f t="shared" si="21"/>
        <v/>
      </c>
      <c r="AT35" s="38" t="str">
        <f t="shared" si="27"/>
        <v>B8</v>
      </c>
      <c r="AU35" s="38">
        <f t="shared" si="18"/>
        <v>0</v>
      </c>
      <c r="AY35" s="38" t="str">
        <f t="shared" si="1"/>
        <v/>
      </c>
      <c r="AZ35" s="38" t="str">
        <f t="shared" si="2"/>
        <v>0</v>
      </c>
      <c r="BA35" s="38" t="str">
        <f t="shared" si="3"/>
        <v>0</v>
      </c>
      <c r="BB35" s="38" t="str">
        <f t="shared" si="4"/>
        <v>0</v>
      </c>
      <c r="BC35" s="38">
        <f t="shared" si="5"/>
        <v>0</v>
      </c>
      <c r="BD35" s="38">
        <f t="shared" si="6"/>
        <v>0</v>
      </c>
      <c r="BL35" s="38" t="str">
        <f t="shared" si="7"/>
        <v/>
      </c>
      <c r="BM35" s="38" t="str">
        <f t="shared" si="8"/>
        <v/>
      </c>
      <c r="BN35" s="38" t="str">
        <f t="shared" si="9"/>
        <v/>
      </c>
      <c r="BO35" s="38" t="str">
        <f t="shared" si="10"/>
        <v/>
      </c>
      <c r="BP35" s="38" t="str">
        <f t="shared" si="11"/>
        <v/>
      </c>
      <c r="BQ35" s="38" t="str">
        <f t="shared" si="12"/>
        <v/>
      </c>
    </row>
    <row r="36" spans="1:69" ht="15.6" x14ac:dyDescent="0.3">
      <c r="A36" s="124" t="s">
        <v>265</v>
      </c>
      <c r="B36" s="397">
        <f>IF(ISBLANK(HLOOKUP($F$25,spelerslijsten!$B$1:$J$22,16,FALSE)),"",HLOOKUP($F$25,spelerslijsten!$B$1:$J$22,16,FALSE))</f>
        <v>10</v>
      </c>
      <c r="C36" s="398"/>
      <c r="D36" s="121"/>
      <c r="E36" s="122" t="str">
        <f>IF(ISBLANK(HLOOKUP($F$25,spelerslijsten!$B$1:$J$22,15,FALSE)),"",HLOOKUP($F$25,spelerslijsten!$B$1:$J$22,15,FALSE))</f>
        <v>Jeffrey Danen</v>
      </c>
      <c r="F36" s="12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08">
        <f t="shared" si="23"/>
        <v>1</v>
      </c>
      <c r="W36" s="109" t="str">
        <f t="shared" si="24"/>
        <v/>
      </c>
      <c r="X36" s="110" t="str">
        <f t="shared" si="25"/>
        <v/>
      </c>
      <c r="Y36" s="103" t="str">
        <f t="shared" si="26"/>
        <v/>
      </c>
      <c r="Z36" s="111"/>
      <c r="AA36" s="112"/>
      <c r="AB36" s="113" t="str">
        <f t="shared" si="16"/>
        <v>-</v>
      </c>
      <c r="AC36" s="112"/>
      <c r="AD36" s="114"/>
      <c r="AE36" s="115"/>
      <c r="AF36" s="115"/>
      <c r="AG36" s="116"/>
      <c r="AH36" s="117"/>
      <c r="AI36" s="117"/>
      <c r="AJ36" s="342"/>
      <c r="AK36" s="343"/>
      <c r="AL36" s="346"/>
      <c r="AM36" s="347"/>
      <c r="AN36" s="118"/>
      <c r="AO36" s="101" t="str">
        <f t="shared" si="19"/>
        <v/>
      </c>
      <c r="AP36" s="113" t="str">
        <f t="shared" si="20"/>
        <v>-</v>
      </c>
      <c r="AQ36" s="119"/>
      <c r="AR36" s="103" t="str">
        <f t="shared" si="21"/>
        <v/>
      </c>
      <c r="AT36" s="38" t="str">
        <f t="shared" si="27"/>
        <v>B10</v>
      </c>
      <c r="AU36" s="38">
        <f t="shared" si="18"/>
        <v>0</v>
      </c>
      <c r="AY36" s="38" t="str">
        <f t="shared" si="1"/>
        <v/>
      </c>
      <c r="AZ36" s="38" t="str">
        <f t="shared" si="2"/>
        <v>0</v>
      </c>
      <c r="BA36" s="38" t="str">
        <f t="shared" si="3"/>
        <v>0</v>
      </c>
      <c r="BB36" s="38" t="str">
        <f t="shared" si="4"/>
        <v>0</v>
      </c>
      <c r="BC36" s="38">
        <f t="shared" si="5"/>
        <v>0</v>
      </c>
      <c r="BD36" s="38">
        <f t="shared" si="6"/>
        <v>0</v>
      </c>
      <c r="BL36" s="38" t="str">
        <f t="shared" si="7"/>
        <v/>
      </c>
      <c r="BM36" s="38" t="str">
        <f t="shared" si="8"/>
        <v/>
      </c>
      <c r="BN36" s="38" t="str">
        <f t="shared" si="9"/>
        <v/>
      </c>
      <c r="BO36" s="38" t="str">
        <f t="shared" si="10"/>
        <v/>
      </c>
      <c r="BP36" s="38" t="str">
        <f t="shared" si="11"/>
        <v/>
      </c>
      <c r="BQ36" s="38" t="str">
        <f t="shared" si="12"/>
        <v/>
      </c>
    </row>
    <row r="37" spans="1:69" ht="15.6" x14ac:dyDescent="0.3">
      <c r="A37" s="124"/>
      <c r="B37" s="397" t="str">
        <f>IF(ISBLANK(HLOOKUP($F$25,spelerslijsten!$B$1:$J$22,18,FALSE)),"",HLOOKUP($F$25,spelerslijsten!$B$1:$J$22,18,FALSE))</f>
        <v/>
      </c>
      <c r="C37" s="398"/>
      <c r="D37" s="121"/>
      <c r="E37" s="122" t="str">
        <f>IF(ISBLANK(HLOOKUP($F$25,spelerslijsten!$B$1:$J$22,17,FALSE)),"",HLOOKUP($F$25,spelerslijsten!$B$1:$J$22,17,FALSE))</f>
        <v/>
      </c>
      <c r="F37" s="12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08">
        <f t="shared" si="23"/>
        <v>0</v>
      </c>
      <c r="W37" s="109" t="str">
        <f t="shared" si="24"/>
        <v/>
      </c>
      <c r="X37" s="110" t="str">
        <f t="shared" si="25"/>
        <v/>
      </c>
      <c r="Y37" s="103" t="str">
        <f t="shared" si="26"/>
        <v/>
      </c>
      <c r="Z37" s="111"/>
      <c r="AA37" s="112"/>
      <c r="AB37" s="113" t="str">
        <f t="shared" si="16"/>
        <v>-</v>
      </c>
      <c r="AC37" s="112"/>
      <c r="AD37" s="114"/>
      <c r="AE37" s="115"/>
      <c r="AF37" s="115"/>
      <c r="AG37" s="116"/>
      <c r="AH37" s="117"/>
      <c r="AI37" s="117"/>
      <c r="AJ37" s="342"/>
      <c r="AK37" s="343"/>
      <c r="AL37" s="346"/>
      <c r="AM37" s="347"/>
      <c r="AN37" s="118"/>
      <c r="AO37" s="101" t="str">
        <f t="shared" si="19"/>
        <v/>
      </c>
      <c r="AP37" s="113" t="str">
        <f t="shared" si="20"/>
        <v>-</v>
      </c>
      <c r="AQ37" s="119"/>
      <c r="AR37" s="103" t="str">
        <f t="shared" si="21"/>
        <v/>
      </c>
      <c r="AT37" s="38" t="str">
        <f t="shared" si="27"/>
        <v>B</v>
      </c>
      <c r="AU37" s="38">
        <f t="shared" si="18"/>
        <v>0</v>
      </c>
      <c r="AY37" s="38" t="str">
        <f t="shared" si="1"/>
        <v/>
      </c>
      <c r="AZ37" s="38" t="str">
        <f t="shared" si="2"/>
        <v>0</v>
      </c>
      <c r="BA37" s="38" t="str">
        <f t="shared" si="3"/>
        <v>0</v>
      </c>
      <c r="BB37" s="38" t="str">
        <f t="shared" si="4"/>
        <v>0</v>
      </c>
      <c r="BC37" s="38">
        <f t="shared" si="5"/>
        <v>0</v>
      </c>
      <c r="BD37" s="38">
        <f t="shared" si="6"/>
        <v>0</v>
      </c>
      <c r="BL37" s="38" t="str">
        <f t="shared" si="7"/>
        <v/>
      </c>
      <c r="BM37" s="38" t="str">
        <f t="shared" si="8"/>
        <v/>
      </c>
      <c r="BN37" s="38" t="str">
        <f t="shared" si="9"/>
        <v/>
      </c>
      <c r="BO37" s="38" t="str">
        <f t="shared" si="10"/>
        <v/>
      </c>
      <c r="BP37" s="38" t="str">
        <f t="shared" si="11"/>
        <v/>
      </c>
      <c r="BQ37" s="38" t="str">
        <f t="shared" si="12"/>
        <v/>
      </c>
    </row>
    <row r="38" spans="1:69" ht="15.6" x14ac:dyDescent="0.3">
      <c r="A38" s="124"/>
      <c r="B38" s="397" t="str">
        <f>IF(ISBLANK(HLOOKUP($F$25,spelerslijsten!$B$1:$J$22,20,FALSE)),"",HLOOKUP($F$25,spelerslijsten!$B$1:$J$22,20,FALSE))</f>
        <v/>
      </c>
      <c r="C38" s="398"/>
      <c r="D38" s="121"/>
      <c r="E38" s="122" t="str">
        <f>IF(ISBLANK(HLOOKUP($F$25,spelerslijsten!$B$1:$J$22,19,FALSE)),"",HLOOKUP($F$25,spelerslijsten!$B$1:$J$22,19,FALSE))</f>
        <v/>
      </c>
      <c r="F38" s="12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08">
        <f t="shared" si="23"/>
        <v>0</v>
      </c>
      <c r="W38" s="109" t="str">
        <f t="shared" si="24"/>
        <v/>
      </c>
      <c r="X38" s="110" t="str">
        <f t="shared" si="25"/>
        <v/>
      </c>
      <c r="Y38" s="103" t="str">
        <f t="shared" si="26"/>
        <v/>
      </c>
      <c r="Z38" s="111"/>
      <c r="AA38" s="112"/>
      <c r="AB38" s="113" t="str">
        <f t="shared" si="16"/>
        <v>-</v>
      </c>
      <c r="AC38" s="112"/>
      <c r="AD38" s="114"/>
      <c r="AE38" s="115"/>
      <c r="AF38" s="115"/>
      <c r="AG38" s="116"/>
      <c r="AH38" s="117"/>
      <c r="AI38" s="117"/>
      <c r="AJ38" s="342"/>
      <c r="AK38" s="343"/>
      <c r="AL38" s="346"/>
      <c r="AM38" s="347"/>
      <c r="AN38" s="118"/>
      <c r="AO38" s="101" t="str">
        <f t="shared" si="19"/>
        <v/>
      </c>
      <c r="AP38" s="113" t="str">
        <f t="shared" si="20"/>
        <v>-</v>
      </c>
      <c r="AQ38" s="119"/>
      <c r="AR38" s="103" t="str">
        <f t="shared" si="21"/>
        <v/>
      </c>
      <c r="AT38" s="38" t="str">
        <f t="shared" si="27"/>
        <v>B</v>
      </c>
      <c r="AU38" s="38">
        <f t="shared" si="18"/>
        <v>0</v>
      </c>
      <c r="AY38" s="38" t="str">
        <f t="shared" si="1"/>
        <v/>
      </c>
      <c r="AZ38" s="38" t="str">
        <f t="shared" si="2"/>
        <v>0</v>
      </c>
      <c r="BA38" s="38" t="str">
        <f t="shared" si="3"/>
        <v>0</v>
      </c>
      <c r="BB38" s="38" t="str">
        <f t="shared" si="4"/>
        <v>0</v>
      </c>
      <c r="BC38" s="38">
        <f t="shared" si="5"/>
        <v>0</v>
      </c>
      <c r="BD38" s="38">
        <f t="shared" si="6"/>
        <v>0</v>
      </c>
      <c r="BL38" s="38" t="str">
        <f t="shared" si="7"/>
        <v/>
      </c>
      <c r="BM38" s="38" t="str">
        <f t="shared" si="8"/>
        <v/>
      </c>
      <c r="BN38" s="38" t="str">
        <f t="shared" si="9"/>
        <v/>
      </c>
      <c r="BO38" s="38" t="str">
        <f t="shared" si="10"/>
        <v/>
      </c>
      <c r="BP38" s="38" t="str">
        <f t="shared" si="11"/>
        <v/>
      </c>
      <c r="BQ38" s="38" t="str">
        <f t="shared" si="12"/>
        <v/>
      </c>
    </row>
    <row r="39" spans="1:69" ht="15.6" x14ac:dyDescent="0.3">
      <c r="A39" s="125"/>
      <c r="B39" s="397" t="str">
        <f>IF(ISBLANK(HLOOKUP($F$25,spelerslijsten!$B$1:$J$22,22,FALSE)),"",HLOOKUP($F$25,spelerslijsten!$B$1:$J$22,22,FALSE))</f>
        <v/>
      </c>
      <c r="C39" s="398"/>
      <c r="D39" s="126"/>
      <c r="E39" s="259" t="str">
        <f>IF(ISBLANK(HLOOKUP($F$25,spelerslijsten!$B$1:$J$22,21,FALSE)),"",HLOOKUP($F$25,spelerslijsten!$B$1:$J$22,21,FALSE))</f>
        <v/>
      </c>
      <c r="F39" s="126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08">
        <f t="shared" si="23"/>
        <v>0</v>
      </c>
      <c r="W39" s="109" t="str">
        <f t="shared" si="24"/>
        <v/>
      </c>
      <c r="X39" s="110" t="str">
        <f t="shared" si="25"/>
        <v/>
      </c>
      <c r="Y39" s="103" t="str">
        <f t="shared" si="26"/>
        <v/>
      </c>
      <c r="Z39" s="111"/>
      <c r="AA39" s="112"/>
      <c r="AB39" s="113" t="str">
        <f t="shared" si="16"/>
        <v>-</v>
      </c>
      <c r="AC39" s="112"/>
      <c r="AD39" s="114"/>
      <c r="AE39" s="115"/>
      <c r="AF39" s="115"/>
      <c r="AG39" s="116"/>
      <c r="AH39" s="117"/>
      <c r="AI39" s="117"/>
      <c r="AJ39" s="342"/>
      <c r="AK39" s="343"/>
      <c r="AL39" s="346"/>
      <c r="AM39" s="347"/>
      <c r="AN39" s="118"/>
      <c r="AO39" s="101" t="str">
        <f t="shared" si="19"/>
        <v/>
      </c>
      <c r="AP39" s="113" t="str">
        <f t="shared" si="20"/>
        <v>-</v>
      </c>
      <c r="AQ39" s="119"/>
      <c r="AR39" s="103" t="str">
        <f t="shared" si="21"/>
        <v/>
      </c>
      <c r="AT39" s="38" t="str">
        <f t="shared" si="27"/>
        <v>B</v>
      </c>
      <c r="AU39" s="38">
        <f t="shared" si="18"/>
        <v>0</v>
      </c>
      <c r="AY39" s="38" t="str">
        <f t="shared" si="1"/>
        <v/>
      </c>
      <c r="AZ39" s="38" t="str">
        <f t="shared" si="2"/>
        <v>0</v>
      </c>
      <c r="BA39" s="38" t="str">
        <f t="shared" si="3"/>
        <v>0</v>
      </c>
      <c r="BB39" s="38" t="str">
        <f t="shared" si="4"/>
        <v>0</v>
      </c>
      <c r="BC39" s="38">
        <f t="shared" si="5"/>
        <v>0</v>
      </c>
      <c r="BD39" s="38">
        <f t="shared" si="6"/>
        <v>0</v>
      </c>
      <c r="BL39" s="38" t="str">
        <f t="shared" si="7"/>
        <v/>
      </c>
      <c r="BM39" s="38" t="str">
        <f t="shared" si="8"/>
        <v/>
      </c>
      <c r="BN39" s="38" t="str">
        <f t="shared" si="9"/>
        <v/>
      </c>
      <c r="BO39" s="38" t="str">
        <f t="shared" si="10"/>
        <v/>
      </c>
      <c r="BP39" s="38" t="str">
        <f t="shared" si="11"/>
        <v/>
      </c>
      <c r="BQ39" s="38" t="str">
        <f t="shared" si="12"/>
        <v/>
      </c>
    </row>
    <row r="40" spans="1:69" ht="16.2" thickBot="1" x14ac:dyDescent="0.35">
      <c r="A40" s="71" t="s">
        <v>67</v>
      </c>
      <c r="B40" s="72"/>
      <c r="C40" s="72"/>
      <c r="D40" s="72"/>
      <c r="E40" s="72"/>
      <c r="F40" s="72"/>
      <c r="G40" s="72"/>
      <c r="H40" s="72"/>
      <c r="I40" s="399">
        <f>HLOOKUP(F25,spelerslijsten!B1:J25,25,FALSE)</f>
        <v>2</v>
      </c>
      <c r="J40" s="400"/>
      <c r="K40" s="74" t="s">
        <v>23</v>
      </c>
      <c r="L40" s="72"/>
      <c r="M40" s="72"/>
      <c r="N40" s="129" t="str">
        <f>HLOOKUP(F25,spelerslijsten!B1:J25,23,FALSE)</f>
        <v>Mieke Reijnders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30"/>
      <c r="Z40" s="111"/>
      <c r="AA40" s="112"/>
      <c r="AB40" s="113" t="str">
        <f t="shared" si="16"/>
        <v>-</v>
      </c>
      <c r="AC40" s="112"/>
      <c r="AD40" s="114"/>
      <c r="AE40" s="115"/>
      <c r="AF40" s="115"/>
      <c r="AG40" s="116"/>
      <c r="AH40" s="117"/>
      <c r="AI40" s="117"/>
      <c r="AJ40" s="342"/>
      <c r="AK40" s="343"/>
      <c r="AL40" s="346"/>
      <c r="AM40" s="347"/>
      <c r="AN40" s="118"/>
      <c r="AO40" s="101" t="str">
        <f t="shared" si="19"/>
        <v/>
      </c>
      <c r="AP40" s="113" t="str">
        <f t="shared" si="20"/>
        <v>-</v>
      </c>
      <c r="AQ40" s="119"/>
      <c r="AR40" s="103" t="str">
        <f t="shared" si="21"/>
        <v/>
      </c>
      <c r="AY40" s="38" t="str">
        <f t="shared" si="1"/>
        <v/>
      </c>
      <c r="AZ40" s="38" t="str">
        <f t="shared" si="2"/>
        <v>0</v>
      </c>
      <c r="BA40" s="38" t="str">
        <f t="shared" si="3"/>
        <v>0</v>
      </c>
      <c r="BB40" s="38" t="str">
        <f t="shared" si="4"/>
        <v>0</v>
      </c>
      <c r="BC40" s="38">
        <f t="shared" si="5"/>
        <v>0</v>
      </c>
      <c r="BD40" s="38">
        <f t="shared" si="6"/>
        <v>0</v>
      </c>
      <c r="BL40" s="38" t="str">
        <f t="shared" si="7"/>
        <v/>
      </c>
      <c r="BM40" s="38" t="str">
        <f t="shared" si="8"/>
        <v/>
      </c>
      <c r="BN40" s="38" t="str">
        <f t="shared" si="9"/>
        <v/>
      </c>
      <c r="BO40" s="38" t="str">
        <f t="shared" si="10"/>
        <v/>
      </c>
      <c r="BP40" s="38" t="str">
        <f t="shared" si="11"/>
        <v/>
      </c>
      <c r="BQ40" s="38" t="str">
        <f t="shared" si="12"/>
        <v/>
      </c>
    </row>
    <row r="41" spans="1:69" ht="15.6" x14ac:dyDescent="0.3">
      <c r="A41" s="157" t="s">
        <v>68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158"/>
      <c r="Z41" s="111"/>
      <c r="AA41" s="112"/>
      <c r="AB41" s="113" t="str">
        <f t="shared" si="16"/>
        <v>-</v>
      </c>
      <c r="AC41" s="112"/>
      <c r="AD41" s="114"/>
      <c r="AE41" s="115"/>
      <c r="AF41" s="115"/>
      <c r="AG41" s="116"/>
      <c r="AH41" s="117"/>
      <c r="AI41" s="117"/>
      <c r="AJ41" s="342"/>
      <c r="AK41" s="343"/>
      <c r="AL41" s="346"/>
      <c r="AM41" s="347"/>
      <c r="AN41" s="118"/>
      <c r="AO41" s="101" t="str">
        <f t="shared" si="19"/>
        <v/>
      </c>
      <c r="AP41" s="113" t="str">
        <f t="shared" si="20"/>
        <v>-</v>
      </c>
      <c r="AQ41" s="119"/>
      <c r="AR41" s="103" t="str">
        <f t="shared" si="21"/>
        <v/>
      </c>
      <c r="AY41" s="38" t="str">
        <f t="shared" si="1"/>
        <v/>
      </c>
      <c r="AZ41" s="38" t="str">
        <f t="shared" si="2"/>
        <v>0</v>
      </c>
      <c r="BA41" s="38" t="str">
        <f t="shared" si="3"/>
        <v>0</v>
      </c>
      <c r="BB41" s="38" t="str">
        <f t="shared" si="4"/>
        <v>0</v>
      </c>
      <c r="BC41" s="38">
        <f t="shared" si="5"/>
        <v>0</v>
      </c>
      <c r="BD41" s="38">
        <f t="shared" si="6"/>
        <v>0</v>
      </c>
      <c r="BL41" s="38" t="str">
        <f t="shared" si="7"/>
        <v/>
      </c>
      <c r="BM41" s="38" t="str">
        <f t="shared" si="8"/>
        <v/>
      </c>
      <c r="BN41" s="38" t="str">
        <f t="shared" si="9"/>
        <v/>
      </c>
      <c r="BO41" s="38" t="str">
        <f t="shared" si="10"/>
        <v/>
      </c>
      <c r="BP41" s="38" t="str">
        <f t="shared" si="11"/>
        <v/>
      </c>
      <c r="BQ41" s="38" t="str">
        <f t="shared" si="12"/>
        <v/>
      </c>
    </row>
    <row r="42" spans="1:69" ht="15.6" x14ac:dyDescent="0.3">
      <c r="A42" s="15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60"/>
      <c r="Z42" s="111"/>
      <c r="AA42" s="112"/>
      <c r="AB42" s="113" t="str">
        <f t="shared" si="16"/>
        <v>-</v>
      </c>
      <c r="AC42" s="112"/>
      <c r="AD42" s="114"/>
      <c r="AE42" s="115"/>
      <c r="AF42" s="115"/>
      <c r="AG42" s="116"/>
      <c r="AH42" s="117"/>
      <c r="AI42" s="117"/>
      <c r="AJ42" s="342"/>
      <c r="AK42" s="343"/>
      <c r="AL42" s="346"/>
      <c r="AM42" s="347"/>
      <c r="AN42" s="118"/>
      <c r="AO42" s="101" t="str">
        <f t="shared" si="19"/>
        <v/>
      </c>
      <c r="AP42" s="113" t="str">
        <f t="shared" si="20"/>
        <v>-</v>
      </c>
      <c r="AQ42" s="119"/>
      <c r="AR42" s="103" t="str">
        <f t="shared" si="21"/>
        <v/>
      </c>
      <c r="AY42" s="38" t="str">
        <f t="shared" si="1"/>
        <v/>
      </c>
      <c r="AZ42" s="38" t="str">
        <f t="shared" si="2"/>
        <v>0</v>
      </c>
      <c r="BA42" s="38" t="str">
        <f t="shared" si="3"/>
        <v>0</v>
      </c>
      <c r="BB42" s="38" t="str">
        <f t="shared" si="4"/>
        <v>0</v>
      </c>
      <c r="BC42" s="38">
        <f t="shared" si="5"/>
        <v>0</v>
      </c>
      <c r="BD42" s="38">
        <f t="shared" si="6"/>
        <v>0</v>
      </c>
      <c r="BL42" s="38" t="str">
        <f t="shared" si="7"/>
        <v/>
      </c>
      <c r="BM42" s="38" t="str">
        <f t="shared" si="8"/>
        <v/>
      </c>
      <c r="BN42" s="38" t="str">
        <f t="shared" si="9"/>
        <v/>
      </c>
      <c r="BO42" s="38" t="str">
        <f t="shared" si="10"/>
        <v/>
      </c>
      <c r="BP42" s="38" t="str">
        <f t="shared" si="11"/>
        <v/>
      </c>
      <c r="BQ42" s="38" t="str">
        <f t="shared" si="12"/>
        <v/>
      </c>
    </row>
    <row r="43" spans="1:69" ht="15.6" x14ac:dyDescent="0.3">
      <c r="A43" s="16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62"/>
      <c r="Z43" s="111"/>
      <c r="AA43" s="112"/>
      <c r="AB43" s="113" t="str">
        <f t="shared" si="16"/>
        <v>-</v>
      </c>
      <c r="AC43" s="112"/>
      <c r="AD43" s="114"/>
      <c r="AE43" s="115"/>
      <c r="AF43" s="115"/>
      <c r="AG43" s="116"/>
      <c r="AH43" s="117"/>
      <c r="AI43" s="117"/>
      <c r="AJ43" s="342"/>
      <c r="AK43" s="343"/>
      <c r="AL43" s="346"/>
      <c r="AM43" s="347"/>
      <c r="AN43" s="118"/>
      <c r="AO43" s="101" t="str">
        <f t="shared" si="19"/>
        <v/>
      </c>
      <c r="AP43" s="113" t="str">
        <f t="shared" si="20"/>
        <v>-</v>
      </c>
      <c r="AQ43" s="119"/>
      <c r="AR43" s="103" t="str">
        <f t="shared" si="21"/>
        <v/>
      </c>
      <c r="AY43" s="38" t="str">
        <f t="shared" si="1"/>
        <v/>
      </c>
      <c r="AZ43" s="38" t="str">
        <f t="shared" si="2"/>
        <v>0</v>
      </c>
      <c r="BA43" s="38" t="str">
        <f t="shared" si="3"/>
        <v>0</v>
      </c>
      <c r="BB43" s="38" t="str">
        <f t="shared" si="4"/>
        <v>0</v>
      </c>
      <c r="BC43" s="38">
        <f t="shared" si="5"/>
        <v>0</v>
      </c>
      <c r="BD43" s="38">
        <f t="shared" si="6"/>
        <v>0</v>
      </c>
      <c r="BL43" s="38" t="str">
        <f t="shared" si="7"/>
        <v/>
      </c>
      <c r="BM43" s="38" t="str">
        <f t="shared" si="8"/>
        <v/>
      </c>
      <c r="BN43" s="38" t="str">
        <f t="shared" si="9"/>
        <v/>
      </c>
      <c r="BO43" s="38" t="str">
        <f t="shared" si="10"/>
        <v/>
      </c>
      <c r="BP43" s="38" t="str">
        <f t="shared" si="11"/>
        <v/>
      </c>
      <c r="BQ43" s="38" t="str">
        <f t="shared" si="12"/>
        <v/>
      </c>
    </row>
    <row r="44" spans="1:69" ht="15.6" x14ac:dyDescent="0.3">
      <c r="A44" s="16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62"/>
      <c r="Z44" s="111"/>
      <c r="AA44" s="112"/>
      <c r="AB44" s="113" t="str">
        <f t="shared" si="16"/>
        <v>-</v>
      </c>
      <c r="AC44" s="112"/>
      <c r="AD44" s="114"/>
      <c r="AE44" s="115"/>
      <c r="AF44" s="115"/>
      <c r="AG44" s="116"/>
      <c r="AH44" s="117"/>
      <c r="AI44" s="117"/>
      <c r="AJ44" s="342"/>
      <c r="AK44" s="343"/>
      <c r="AL44" s="346"/>
      <c r="AM44" s="347"/>
      <c r="AN44" s="118"/>
      <c r="AO44" s="101" t="str">
        <f t="shared" si="19"/>
        <v/>
      </c>
      <c r="AP44" s="113" t="str">
        <f t="shared" si="20"/>
        <v>-</v>
      </c>
      <c r="AQ44" s="119"/>
      <c r="AR44" s="103" t="str">
        <f t="shared" si="21"/>
        <v/>
      </c>
      <c r="AY44" s="38" t="str">
        <f t="shared" si="1"/>
        <v/>
      </c>
      <c r="AZ44" s="38" t="str">
        <f t="shared" si="2"/>
        <v>0</v>
      </c>
      <c r="BA44" s="38" t="str">
        <f t="shared" si="3"/>
        <v>0</v>
      </c>
      <c r="BB44" s="38" t="str">
        <f t="shared" si="4"/>
        <v>0</v>
      </c>
      <c r="BC44" s="38">
        <f t="shared" si="5"/>
        <v>0</v>
      </c>
      <c r="BD44" s="38">
        <f t="shared" si="6"/>
        <v>0</v>
      </c>
      <c r="BL44" s="38" t="str">
        <f t="shared" si="7"/>
        <v/>
      </c>
      <c r="BM44" s="38" t="str">
        <f t="shared" si="8"/>
        <v/>
      </c>
      <c r="BN44" s="38" t="str">
        <f t="shared" si="9"/>
        <v/>
      </c>
      <c r="BO44" s="38" t="str">
        <f t="shared" si="10"/>
        <v/>
      </c>
      <c r="BP44" s="38" t="str">
        <f t="shared" si="11"/>
        <v/>
      </c>
      <c r="BQ44" s="38" t="str">
        <f t="shared" si="12"/>
        <v/>
      </c>
    </row>
    <row r="45" spans="1:69" ht="15.6" x14ac:dyDescent="0.3">
      <c r="A45" s="16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62"/>
      <c r="Z45" s="111"/>
      <c r="AA45" s="112"/>
      <c r="AB45" s="113" t="str">
        <f>+AB44</f>
        <v>-</v>
      </c>
      <c r="AC45" s="112"/>
      <c r="AD45" s="114"/>
      <c r="AE45" s="115"/>
      <c r="AF45" s="115"/>
      <c r="AG45" s="116"/>
      <c r="AH45" s="117"/>
      <c r="AI45" s="117"/>
      <c r="AJ45" s="342"/>
      <c r="AK45" s="343"/>
      <c r="AL45" s="346"/>
      <c r="AM45" s="347"/>
      <c r="AN45" s="118"/>
      <c r="AO45" s="101" t="str">
        <f t="shared" si="19"/>
        <v/>
      </c>
      <c r="AP45" s="113" t="str">
        <f t="shared" si="20"/>
        <v>-</v>
      </c>
      <c r="AQ45" s="119"/>
      <c r="AR45" s="103" t="str">
        <f t="shared" si="21"/>
        <v/>
      </c>
      <c r="AY45" s="38" t="str">
        <f t="shared" si="1"/>
        <v/>
      </c>
      <c r="AZ45" s="38" t="str">
        <f t="shared" si="2"/>
        <v>0</v>
      </c>
      <c r="BA45" s="38" t="str">
        <f t="shared" si="3"/>
        <v>0</v>
      </c>
      <c r="BB45" s="38" t="str">
        <f t="shared" si="4"/>
        <v>0</v>
      </c>
      <c r="BC45" s="38">
        <f t="shared" si="5"/>
        <v>0</v>
      </c>
      <c r="BD45" s="38">
        <f t="shared" si="6"/>
        <v>0</v>
      </c>
      <c r="BL45" s="38" t="str">
        <f t="shared" si="7"/>
        <v/>
      </c>
      <c r="BM45" s="38" t="str">
        <f t="shared" si="8"/>
        <v/>
      </c>
      <c r="BN45" s="38" t="str">
        <f t="shared" si="9"/>
        <v/>
      </c>
      <c r="BO45" s="38" t="str">
        <f t="shared" si="10"/>
        <v/>
      </c>
      <c r="BP45" s="38" t="str">
        <f t="shared" si="11"/>
        <v/>
      </c>
      <c r="BQ45" s="38" t="str">
        <f t="shared" si="12"/>
        <v/>
      </c>
    </row>
    <row r="46" spans="1:69" ht="16.2" thickBot="1" x14ac:dyDescent="0.35">
      <c r="A46" s="163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64"/>
      <c r="Z46" s="165"/>
      <c r="AA46" s="166"/>
      <c r="AB46" s="167" t="str">
        <f>+AB45</f>
        <v>-</v>
      </c>
      <c r="AC46" s="166"/>
      <c r="AD46" s="168"/>
      <c r="AE46" s="169"/>
      <c r="AF46" s="169"/>
      <c r="AG46" s="170"/>
      <c r="AH46" s="171"/>
      <c r="AI46" s="171"/>
      <c r="AJ46" s="344"/>
      <c r="AK46" s="345"/>
      <c r="AL46" s="352"/>
      <c r="AM46" s="353"/>
      <c r="AN46" s="172"/>
      <c r="AO46" s="101" t="str">
        <f t="shared" si="19"/>
        <v/>
      </c>
      <c r="AP46" s="113" t="str">
        <f t="shared" si="20"/>
        <v>-</v>
      </c>
      <c r="AQ46" s="119"/>
      <c r="AR46" s="103" t="str">
        <f t="shared" si="21"/>
        <v/>
      </c>
      <c r="AY46" s="38" t="str">
        <f t="shared" si="1"/>
        <v/>
      </c>
      <c r="AZ46" s="38" t="str">
        <f t="shared" si="2"/>
        <v>0</v>
      </c>
      <c r="BA46" s="38" t="str">
        <f t="shared" si="3"/>
        <v>0</v>
      </c>
      <c r="BB46" s="38" t="str">
        <f t="shared" si="4"/>
        <v>0</v>
      </c>
      <c r="BC46" s="38">
        <f t="shared" si="5"/>
        <v>0</v>
      </c>
      <c r="BD46" s="38">
        <f t="shared" si="6"/>
        <v>0</v>
      </c>
      <c r="BL46" s="38" t="str">
        <f t="shared" si="7"/>
        <v/>
      </c>
      <c r="BM46" s="38" t="str">
        <f t="shared" si="8"/>
        <v/>
      </c>
      <c r="BN46" s="38" t="str">
        <f t="shared" si="9"/>
        <v/>
      </c>
      <c r="BO46" s="38" t="str">
        <f t="shared" si="10"/>
        <v/>
      </c>
      <c r="BP46" s="38" t="str">
        <f t="shared" si="11"/>
        <v/>
      </c>
      <c r="BQ46" s="38" t="str">
        <f t="shared" si="12"/>
        <v/>
      </c>
    </row>
    <row r="47" spans="1:69" ht="18.600000000000001" thickBot="1" x14ac:dyDescent="0.35">
      <c r="A47" s="173" t="s">
        <v>69</v>
      </c>
      <c r="B47" s="174"/>
      <c r="C47" s="174"/>
      <c r="D47" s="174"/>
      <c r="E47" s="174"/>
      <c r="F47" s="174"/>
      <c r="G47" s="174">
        <f>IF(AO52&gt;AR52,AO52,IF(AO52=AR52,AO52,AR52))</f>
        <v>2</v>
      </c>
      <c r="H47" s="175" t="s">
        <v>16</v>
      </c>
      <c r="I47" s="174">
        <f>IF(AO52&gt;AR52,AR52,IF(AO52=AR52,AR52,AO52))</f>
        <v>1</v>
      </c>
      <c r="J47" s="174"/>
      <c r="K47" s="174" t="s">
        <v>70</v>
      </c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6" t="str">
        <f>BE52</f>
        <v>BLAUW</v>
      </c>
      <c r="W47" s="174"/>
      <c r="X47" s="174"/>
      <c r="Y47" s="174"/>
      <c r="Z47" s="174"/>
      <c r="AA47" s="174"/>
      <c r="AB47" s="174"/>
      <c r="AC47" s="174"/>
      <c r="AD47" s="177"/>
      <c r="AE47" s="178" t="s">
        <v>71</v>
      </c>
      <c r="AF47" s="179"/>
      <c r="AG47" s="179"/>
      <c r="AH47" s="179"/>
      <c r="AI47" s="179"/>
      <c r="AJ47" s="174"/>
      <c r="AK47" s="174"/>
      <c r="AL47" s="403" t="s">
        <v>177</v>
      </c>
      <c r="AM47" s="404"/>
      <c r="AN47" s="404"/>
      <c r="AO47" s="404"/>
      <c r="AP47" s="404"/>
      <c r="AQ47" s="404"/>
      <c r="AR47" s="405"/>
    </row>
    <row r="48" spans="1:69" x14ac:dyDescent="0.3">
      <c r="A48" s="180" t="s">
        <v>72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2"/>
      <c r="P48" s="183" t="s">
        <v>72</v>
      </c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2"/>
      <c r="AC48" s="181"/>
      <c r="AD48" s="184"/>
      <c r="AE48" s="185" t="s">
        <v>72</v>
      </c>
      <c r="AF48" s="186"/>
      <c r="AG48" s="186"/>
      <c r="AH48" s="186"/>
      <c r="AI48" s="186"/>
      <c r="AJ48" s="181"/>
      <c r="AK48" s="181"/>
      <c r="AL48" s="181"/>
      <c r="AM48" s="181"/>
      <c r="AN48" s="181"/>
      <c r="AO48" s="186"/>
      <c r="AP48" s="181"/>
      <c r="AQ48" s="181"/>
      <c r="AR48" s="187"/>
    </row>
    <row r="49" spans="1:57" x14ac:dyDescent="0.3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/>
      <c r="P49" s="191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90"/>
      <c r="AC49" s="189"/>
      <c r="AD49" s="192"/>
      <c r="AE49" s="193"/>
      <c r="AF49" s="193"/>
      <c r="AG49" s="193"/>
      <c r="AH49" s="193"/>
      <c r="AI49" s="193"/>
      <c r="AJ49" s="189"/>
      <c r="AK49" s="189"/>
      <c r="AL49" s="189"/>
      <c r="AM49" s="189"/>
      <c r="AN49" s="189"/>
      <c r="AO49" s="193"/>
      <c r="AP49" s="189"/>
      <c r="AQ49" s="189"/>
      <c r="AR49" s="194"/>
    </row>
    <row r="50" spans="1:57" ht="14.4" thickBot="1" x14ac:dyDescent="0.3">
      <c r="A50" s="195" t="s">
        <v>73</v>
      </c>
      <c r="B50" s="196"/>
      <c r="C50" s="196"/>
      <c r="D50" s="196"/>
      <c r="E50" s="196"/>
      <c r="F50" s="196"/>
      <c r="G50" s="196"/>
      <c r="H50" s="197" t="s">
        <v>74</v>
      </c>
      <c r="I50" s="196"/>
      <c r="J50" s="196"/>
      <c r="K50" s="196"/>
      <c r="L50" s="196"/>
      <c r="M50" s="196"/>
      <c r="N50" s="196"/>
      <c r="O50" s="198"/>
      <c r="P50" s="199" t="s">
        <v>73</v>
      </c>
      <c r="Q50" s="196"/>
      <c r="R50" s="196"/>
      <c r="S50" s="196"/>
      <c r="T50" s="196"/>
      <c r="U50" s="196"/>
      <c r="V50" s="196"/>
      <c r="W50" s="197" t="s">
        <v>75</v>
      </c>
      <c r="X50" s="196"/>
      <c r="Y50" s="196"/>
      <c r="Z50" s="196"/>
      <c r="AA50" s="196"/>
      <c r="AB50" s="198"/>
      <c r="AC50" s="196"/>
      <c r="AD50" s="200"/>
      <c r="AE50" s="201" t="s">
        <v>25</v>
      </c>
      <c r="AF50" s="202"/>
      <c r="AG50" s="202"/>
      <c r="AH50" s="202"/>
      <c r="AI50" s="202"/>
      <c r="AJ50" s="203"/>
      <c r="AK50" s="203"/>
      <c r="AL50" s="203"/>
      <c r="AM50" s="203"/>
      <c r="AN50" s="203"/>
      <c r="AO50" s="202"/>
      <c r="AP50" s="203"/>
      <c r="AQ50" s="203"/>
      <c r="AR50" s="204"/>
    </row>
    <row r="52" spans="1:57" hidden="1" x14ac:dyDescent="0.3">
      <c r="AO52" s="40">
        <f>IF(AO13="","",MAX(AO13:AO46))</f>
        <v>1</v>
      </c>
      <c r="AR52" s="40">
        <f>IF(AR13="","",MAX(AR13:AR46))</f>
        <v>2</v>
      </c>
      <c r="AS52" s="38" t="str">
        <f>IF(AO13="","0","1")</f>
        <v>1</v>
      </c>
      <c r="BE52" s="38" t="str">
        <f>IF(AS52="0","WIT/BLAUW",IF(AO52&gt;AR52,"WIT",IF(AO52=AR52,"GELIJK","BLAUW")))</f>
        <v>BLAUW</v>
      </c>
    </row>
  </sheetData>
  <sheetProtection sheet="1" objects="1" scenarios="1"/>
  <mergeCells count="107">
    <mergeCell ref="AJ46:AK46"/>
    <mergeCell ref="AL46:AM46"/>
    <mergeCell ref="AL47:AR47"/>
    <mergeCell ref="AJ43:AK43"/>
    <mergeCell ref="AL43:AM43"/>
    <mergeCell ref="AJ44:AK44"/>
    <mergeCell ref="AL44:AM44"/>
    <mergeCell ref="AJ45:AK45"/>
    <mergeCell ref="AL45:AM45"/>
    <mergeCell ref="I40:J40"/>
    <mergeCell ref="AJ40:AK40"/>
    <mergeCell ref="AL40:AM40"/>
    <mergeCell ref="AJ41:AK41"/>
    <mergeCell ref="AL41:AM41"/>
    <mergeCell ref="AJ42:AK42"/>
    <mergeCell ref="AL42:AM42"/>
    <mergeCell ref="B38:C38"/>
    <mergeCell ref="AJ38:AK38"/>
    <mergeCell ref="AL38:AM38"/>
    <mergeCell ref="B39:C39"/>
    <mergeCell ref="AJ39:AK39"/>
    <mergeCell ref="AL39:AM39"/>
    <mergeCell ref="B36:C36"/>
    <mergeCell ref="AJ36:AK36"/>
    <mergeCell ref="AL36:AM36"/>
    <mergeCell ref="B37:C37"/>
    <mergeCell ref="AJ37:AK37"/>
    <mergeCell ref="AL37:AM37"/>
    <mergeCell ref="B34:C34"/>
    <mergeCell ref="AJ34:AK34"/>
    <mergeCell ref="AL34:AM34"/>
    <mergeCell ref="B35:C35"/>
    <mergeCell ref="AJ35:AK35"/>
    <mergeCell ref="AL35:AM35"/>
    <mergeCell ref="B32:C32"/>
    <mergeCell ref="AJ32:AK32"/>
    <mergeCell ref="AL32:AM32"/>
    <mergeCell ref="B33:C33"/>
    <mergeCell ref="AJ33:AK33"/>
    <mergeCell ref="AL33:AM33"/>
    <mergeCell ref="AJ29:AK29"/>
    <mergeCell ref="AL29:AM29"/>
    <mergeCell ref="B30:C30"/>
    <mergeCell ref="AJ30:AK30"/>
    <mergeCell ref="AL30:AM30"/>
    <mergeCell ref="B31:C31"/>
    <mergeCell ref="AJ31:AK31"/>
    <mergeCell ref="AL31:AM31"/>
    <mergeCell ref="A26:D28"/>
    <mergeCell ref="AJ26:AK26"/>
    <mergeCell ref="AL26:AM26"/>
    <mergeCell ref="AJ27:AK27"/>
    <mergeCell ref="AL27:AM27"/>
    <mergeCell ref="AJ28:AK28"/>
    <mergeCell ref="AL28:AM28"/>
    <mergeCell ref="I24:J24"/>
    <mergeCell ref="AJ24:AK24"/>
    <mergeCell ref="AL24:AM24"/>
    <mergeCell ref="F25:Y28"/>
    <mergeCell ref="AJ25:AK25"/>
    <mergeCell ref="AL25:AM25"/>
    <mergeCell ref="B22:C22"/>
    <mergeCell ref="AJ22:AK22"/>
    <mergeCell ref="AL22:AM22"/>
    <mergeCell ref="B23:C23"/>
    <mergeCell ref="AJ23:AK23"/>
    <mergeCell ref="AL23:AM23"/>
    <mergeCell ref="B20:C20"/>
    <mergeCell ref="AJ20:AK20"/>
    <mergeCell ref="AL20:AM20"/>
    <mergeCell ref="B21:C21"/>
    <mergeCell ref="AJ21:AK21"/>
    <mergeCell ref="AL21:AM21"/>
    <mergeCell ref="B18:C18"/>
    <mergeCell ref="AJ18:AK18"/>
    <mergeCell ref="AL18:AM18"/>
    <mergeCell ref="B19:C19"/>
    <mergeCell ref="AJ19:AK19"/>
    <mergeCell ref="AL19:AM19"/>
    <mergeCell ref="B16:C16"/>
    <mergeCell ref="AJ16:AK16"/>
    <mergeCell ref="AL16:AM16"/>
    <mergeCell ref="B17:C17"/>
    <mergeCell ref="AJ17:AK17"/>
    <mergeCell ref="AL17:AM17"/>
    <mergeCell ref="AJ13:AK13"/>
    <mergeCell ref="AL13:AM13"/>
    <mergeCell ref="B14:C14"/>
    <mergeCell ref="AJ14:AK14"/>
    <mergeCell ref="AL14:AM14"/>
    <mergeCell ref="B15:C15"/>
    <mergeCell ref="AJ15:AK15"/>
    <mergeCell ref="AL15:AM15"/>
    <mergeCell ref="F10:Y12"/>
    <mergeCell ref="Z10:AD12"/>
    <mergeCell ref="AJ10:AK12"/>
    <mergeCell ref="AL10:AM12"/>
    <mergeCell ref="AN10:AR11"/>
    <mergeCell ref="A11:D12"/>
    <mergeCell ref="AN12:AO12"/>
    <mergeCell ref="AQ12:AR12"/>
    <mergeCell ref="D3:N3"/>
    <mergeCell ref="D4:E4"/>
    <mergeCell ref="G4:I4"/>
    <mergeCell ref="K4:M4"/>
    <mergeCell ref="BF4:BI6"/>
    <mergeCell ref="AH6:AR6"/>
  </mergeCells>
  <dataValidations count="1">
    <dataValidation type="list" allowBlank="1" showInputMessage="1" showErrorMessage="1" sqref="AL47:AR47" xr:uid="{8E5AB907-F430-4479-BFF6-05389EDFB515}">
      <formula1>"JA/NEE,JA,NEE"</formula1>
    </dataValidation>
  </dataValidations>
  <hyperlinks>
    <hyperlink ref="BF4:BI6" location="Wedstrijden!A1" display="Wedstrijdschema" xr:uid="{7F16EC45-350F-4530-80E2-53176F16B5AC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7739E-C25D-4EF5-AC7E-90751FEFD025}">
  <dimension ref="A1:IV52"/>
  <sheetViews>
    <sheetView workbookViewId="0">
      <selection activeCell="BF4" sqref="BF4:BI6"/>
    </sheetView>
  </sheetViews>
  <sheetFormatPr defaultRowHeight="13.8" x14ac:dyDescent="0.3"/>
  <cols>
    <col min="1" max="6" width="2.33203125" style="38" customWidth="1"/>
    <col min="7" max="7" width="3.33203125" style="38" customWidth="1"/>
    <col min="8" max="8" width="2.33203125" style="38" customWidth="1"/>
    <col min="9" max="9" width="3.33203125" style="38" customWidth="1"/>
    <col min="10" max="25" width="2.33203125" style="38" customWidth="1"/>
    <col min="26" max="28" width="2.109375" style="38" customWidth="1"/>
    <col min="29" max="29" width="3" style="38" customWidth="1"/>
    <col min="30" max="30" width="2.109375" style="39" customWidth="1"/>
    <col min="31" max="35" width="2.33203125" style="40" customWidth="1"/>
    <col min="36" max="39" width="2.33203125" style="38" customWidth="1"/>
    <col min="40" max="40" width="2.109375" style="38" customWidth="1"/>
    <col min="41" max="41" width="3.33203125" style="40" customWidth="1"/>
    <col min="42" max="43" width="2.109375" style="38" customWidth="1"/>
    <col min="44" max="44" width="3.33203125" style="40" customWidth="1"/>
    <col min="45" max="45" width="8.88671875" style="38"/>
    <col min="46" max="56" width="9.109375" style="38" hidden="1" customWidth="1"/>
    <col min="57" max="62" width="8.88671875" style="38"/>
    <col min="63" max="69" width="0" style="38" hidden="1" customWidth="1"/>
    <col min="70" max="256" width="8.88671875" style="38"/>
    <col min="257" max="281" width="2.33203125" style="38" customWidth="1"/>
    <col min="282" max="286" width="2.109375" style="38" customWidth="1"/>
    <col min="287" max="295" width="2.33203125" style="38" customWidth="1"/>
    <col min="296" max="300" width="2.109375" style="38" customWidth="1"/>
    <col min="301" max="512" width="8.88671875" style="38"/>
    <col min="513" max="537" width="2.33203125" style="38" customWidth="1"/>
    <col min="538" max="542" width="2.109375" style="38" customWidth="1"/>
    <col min="543" max="551" width="2.33203125" style="38" customWidth="1"/>
    <col min="552" max="556" width="2.109375" style="38" customWidth="1"/>
    <col min="557" max="768" width="8.88671875" style="38"/>
    <col min="769" max="793" width="2.33203125" style="38" customWidth="1"/>
    <col min="794" max="798" width="2.109375" style="38" customWidth="1"/>
    <col min="799" max="807" width="2.33203125" style="38" customWidth="1"/>
    <col min="808" max="812" width="2.109375" style="38" customWidth="1"/>
    <col min="813" max="1024" width="8.88671875" style="38"/>
    <col min="1025" max="1049" width="2.33203125" style="38" customWidth="1"/>
    <col min="1050" max="1054" width="2.109375" style="38" customWidth="1"/>
    <col min="1055" max="1063" width="2.33203125" style="38" customWidth="1"/>
    <col min="1064" max="1068" width="2.109375" style="38" customWidth="1"/>
    <col min="1069" max="1280" width="8.88671875" style="38"/>
    <col min="1281" max="1305" width="2.33203125" style="38" customWidth="1"/>
    <col min="1306" max="1310" width="2.109375" style="38" customWidth="1"/>
    <col min="1311" max="1319" width="2.33203125" style="38" customWidth="1"/>
    <col min="1320" max="1324" width="2.109375" style="38" customWidth="1"/>
    <col min="1325" max="1536" width="8.88671875" style="38"/>
    <col min="1537" max="1561" width="2.33203125" style="38" customWidth="1"/>
    <col min="1562" max="1566" width="2.109375" style="38" customWidth="1"/>
    <col min="1567" max="1575" width="2.33203125" style="38" customWidth="1"/>
    <col min="1576" max="1580" width="2.109375" style="38" customWidth="1"/>
    <col min="1581" max="1792" width="8.88671875" style="38"/>
    <col min="1793" max="1817" width="2.33203125" style="38" customWidth="1"/>
    <col min="1818" max="1822" width="2.109375" style="38" customWidth="1"/>
    <col min="1823" max="1831" width="2.33203125" style="38" customWidth="1"/>
    <col min="1832" max="1836" width="2.109375" style="38" customWidth="1"/>
    <col min="1837" max="2048" width="8.88671875" style="38"/>
    <col min="2049" max="2073" width="2.33203125" style="38" customWidth="1"/>
    <col min="2074" max="2078" width="2.109375" style="38" customWidth="1"/>
    <col min="2079" max="2087" width="2.33203125" style="38" customWidth="1"/>
    <col min="2088" max="2092" width="2.109375" style="38" customWidth="1"/>
    <col min="2093" max="2304" width="8.88671875" style="38"/>
    <col min="2305" max="2329" width="2.33203125" style="38" customWidth="1"/>
    <col min="2330" max="2334" width="2.109375" style="38" customWidth="1"/>
    <col min="2335" max="2343" width="2.33203125" style="38" customWidth="1"/>
    <col min="2344" max="2348" width="2.109375" style="38" customWidth="1"/>
    <col min="2349" max="2560" width="8.88671875" style="38"/>
    <col min="2561" max="2585" width="2.33203125" style="38" customWidth="1"/>
    <col min="2586" max="2590" width="2.109375" style="38" customWidth="1"/>
    <col min="2591" max="2599" width="2.33203125" style="38" customWidth="1"/>
    <col min="2600" max="2604" width="2.109375" style="38" customWidth="1"/>
    <col min="2605" max="2816" width="8.88671875" style="38"/>
    <col min="2817" max="2841" width="2.33203125" style="38" customWidth="1"/>
    <col min="2842" max="2846" width="2.109375" style="38" customWidth="1"/>
    <col min="2847" max="2855" width="2.33203125" style="38" customWidth="1"/>
    <col min="2856" max="2860" width="2.109375" style="38" customWidth="1"/>
    <col min="2861" max="3072" width="8.88671875" style="38"/>
    <col min="3073" max="3097" width="2.33203125" style="38" customWidth="1"/>
    <col min="3098" max="3102" width="2.109375" style="38" customWidth="1"/>
    <col min="3103" max="3111" width="2.33203125" style="38" customWidth="1"/>
    <col min="3112" max="3116" width="2.109375" style="38" customWidth="1"/>
    <col min="3117" max="3328" width="8.88671875" style="38"/>
    <col min="3329" max="3353" width="2.33203125" style="38" customWidth="1"/>
    <col min="3354" max="3358" width="2.109375" style="38" customWidth="1"/>
    <col min="3359" max="3367" width="2.33203125" style="38" customWidth="1"/>
    <col min="3368" max="3372" width="2.109375" style="38" customWidth="1"/>
    <col min="3373" max="3584" width="8.88671875" style="38"/>
    <col min="3585" max="3609" width="2.33203125" style="38" customWidth="1"/>
    <col min="3610" max="3614" width="2.109375" style="38" customWidth="1"/>
    <col min="3615" max="3623" width="2.33203125" style="38" customWidth="1"/>
    <col min="3624" max="3628" width="2.109375" style="38" customWidth="1"/>
    <col min="3629" max="3840" width="8.88671875" style="38"/>
    <col min="3841" max="3865" width="2.33203125" style="38" customWidth="1"/>
    <col min="3866" max="3870" width="2.109375" style="38" customWidth="1"/>
    <col min="3871" max="3879" width="2.33203125" style="38" customWidth="1"/>
    <col min="3880" max="3884" width="2.109375" style="38" customWidth="1"/>
    <col min="3885" max="4096" width="8.88671875" style="38"/>
    <col min="4097" max="4121" width="2.33203125" style="38" customWidth="1"/>
    <col min="4122" max="4126" width="2.109375" style="38" customWidth="1"/>
    <col min="4127" max="4135" width="2.33203125" style="38" customWidth="1"/>
    <col min="4136" max="4140" width="2.109375" style="38" customWidth="1"/>
    <col min="4141" max="4352" width="8.88671875" style="38"/>
    <col min="4353" max="4377" width="2.33203125" style="38" customWidth="1"/>
    <col min="4378" max="4382" width="2.109375" style="38" customWidth="1"/>
    <col min="4383" max="4391" width="2.33203125" style="38" customWidth="1"/>
    <col min="4392" max="4396" width="2.109375" style="38" customWidth="1"/>
    <col min="4397" max="4608" width="8.88671875" style="38"/>
    <col min="4609" max="4633" width="2.33203125" style="38" customWidth="1"/>
    <col min="4634" max="4638" width="2.109375" style="38" customWidth="1"/>
    <col min="4639" max="4647" width="2.33203125" style="38" customWidth="1"/>
    <col min="4648" max="4652" width="2.109375" style="38" customWidth="1"/>
    <col min="4653" max="4864" width="8.88671875" style="38"/>
    <col min="4865" max="4889" width="2.33203125" style="38" customWidth="1"/>
    <col min="4890" max="4894" width="2.109375" style="38" customWidth="1"/>
    <col min="4895" max="4903" width="2.33203125" style="38" customWidth="1"/>
    <col min="4904" max="4908" width="2.109375" style="38" customWidth="1"/>
    <col min="4909" max="5120" width="8.88671875" style="38"/>
    <col min="5121" max="5145" width="2.33203125" style="38" customWidth="1"/>
    <col min="5146" max="5150" width="2.109375" style="38" customWidth="1"/>
    <col min="5151" max="5159" width="2.33203125" style="38" customWidth="1"/>
    <col min="5160" max="5164" width="2.109375" style="38" customWidth="1"/>
    <col min="5165" max="5376" width="8.88671875" style="38"/>
    <col min="5377" max="5401" width="2.33203125" style="38" customWidth="1"/>
    <col min="5402" max="5406" width="2.109375" style="38" customWidth="1"/>
    <col min="5407" max="5415" width="2.33203125" style="38" customWidth="1"/>
    <col min="5416" max="5420" width="2.109375" style="38" customWidth="1"/>
    <col min="5421" max="5632" width="8.88671875" style="38"/>
    <col min="5633" max="5657" width="2.33203125" style="38" customWidth="1"/>
    <col min="5658" max="5662" width="2.109375" style="38" customWidth="1"/>
    <col min="5663" max="5671" width="2.33203125" style="38" customWidth="1"/>
    <col min="5672" max="5676" width="2.109375" style="38" customWidth="1"/>
    <col min="5677" max="5888" width="8.88671875" style="38"/>
    <col min="5889" max="5913" width="2.33203125" style="38" customWidth="1"/>
    <col min="5914" max="5918" width="2.109375" style="38" customWidth="1"/>
    <col min="5919" max="5927" width="2.33203125" style="38" customWidth="1"/>
    <col min="5928" max="5932" width="2.109375" style="38" customWidth="1"/>
    <col min="5933" max="6144" width="8.88671875" style="38"/>
    <col min="6145" max="6169" width="2.33203125" style="38" customWidth="1"/>
    <col min="6170" max="6174" width="2.109375" style="38" customWidth="1"/>
    <col min="6175" max="6183" width="2.33203125" style="38" customWidth="1"/>
    <col min="6184" max="6188" width="2.109375" style="38" customWidth="1"/>
    <col min="6189" max="6400" width="8.88671875" style="38"/>
    <col min="6401" max="6425" width="2.33203125" style="38" customWidth="1"/>
    <col min="6426" max="6430" width="2.109375" style="38" customWidth="1"/>
    <col min="6431" max="6439" width="2.33203125" style="38" customWidth="1"/>
    <col min="6440" max="6444" width="2.109375" style="38" customWidth="1"/>
    <col min="6445" max="6656" width="8.88671875" style="38"/>
    <col min="6657" max="6681" width="2.33203125" style="38" customWidth="1"/>
    <col min="6682" max="6686" width="2.109375" style="38" customWidth="1"/>
    <col min="6687" max="6695" width="2.33203125" style="38" customWidth="1"/>
    <col min="6696" max="6700" width="2.109375" style="38" customWidth="1"/>
    <col min="6701" max="6912" width="8.88671875" style="38"/>
    <col min="6913" max="6937" width="2.33203125" style="38" customWidth="1"/>
    <col min="6938" max="6942" width="2.109375" style="38" customWidth="1"/>
    <col min="6943" max="6951" width="2.33203125" style="38" customWidth="1"/>
    <col min="6952" max="6956" width="2.109375" style="38" customWidth="1"/>
    <col min="6957" max="7168" width="8.88671875" style="38"/>
    <col min="7169" max="7193" width="2.33203125" style="38" customWidth="1"/>
    <col min="7194" max="7198" width="2.109375" style="38" customWidth="1"/>
    <col min="7199" max="7207" width="2.33203125" style="38" customWidth="1"/>
    <col min="7208" max="7212" width="2.109375" style="38" customWidth="1"/>
    <col min="7213" max="7424" width="8.88671875" style="38"/>
    <col min="7425" max="7449" width="2.33203125" style="38" customWidth="1"/>
    <col min="7450" max="7454" width="2.109375" style="38" customWidth="1"/>
    <col min="7455" max="7463" width="2.33203125" style="38" customWidth="1"/>
    <col min="7464" max="7468" width="2.109375" style="38" customWidth="1"/>
    <col min="7469" max="7680" width="8.88671875" style="38"/>
    <col min="7681" max="7705" width="2.33203125" style="38" customWidth="1"/>
    <col min="7706" max="7710" width="2.109375" style="38" customWidth="1"/>
    <col min="7711" max="7719" width="2.33203125" style="38" customWidth="1"/>
    <col min="7720" max="7724" width="2.109375" style="38" customWidth="1"/>
    <col min="7725" max="7936" width="8.88671875" style="38"/>
    <col min="7937" max="7961" width="2.33203125" style="38" customWidth="1"/>
    <col min="7962" max="7966" width="2.109375" style="38" customWidth="1"/>
    <col min="7967" max="7975" width="2.33203125" style="38" customWidth="1"/>
    <col min="7976" max="7980" width="2.109375" style="38" customWidth="1"/>
    <col min="7981" max="8192" width="8.88671875" style="38"/>
    <col min="8193" max="8217" width="2.33203125" style="38" customWidth="1"/>
    <col min="8218" max="8222" width="2.109375" style="38" customWidth="1"/>
    <col min="8223" max="8231" width="2.33203125" style="38" customWidth="1"/>
    <col min="8232" max="8236" width="2.109375" style="38" customWidth="1"/>
    <col min="8237" max="8448" width="8.88671875" style="38"/>
    <col min="8449" max="8473" width="2.33203125" style="38" customWidth="1"/>
    <col min="8474" max="8478" width="2.109375" style="38" customWidth="1"/>
    <col min="8479" max="8487" width="2.33203125" style="38" customWidth="1"/>
    <col min="8488" max="8492" width="2.109375" style="38" customWidth="1"/>
    <col min="8493" max="8704" width="8.88671875" style="38"/>
    <col min="8705" max="8729" width="2.33203125" style="38" customWidth="1"/>
    <col min="8730" max="8734" width="2.109375" style="38" customWidth="1"/>
    <col min="8735" max="8743" width="2.33203125" style="38" customWidth="1"/>
    <col min="8744" max="8748" width="2.109375" style="38" customWidth="1"/>
    <col min="8749" max="8960" width="8.88671875" style="38"/>
    <col min="8961" max="8985" width="2.33203125" style="38" customWidth="1"/>
    <col min="8986" max="8990" width="2.109375" style="38" customWidth="1"/>
    <col min="8991" max="8999" width="2.33203125" style="38" customWidth="1"/>
    <col min="9000" max="9004" width="2.109375" style="38" customWidth="1"/>
    <col min="9005" max="9216" width="8.88671875" style="38"/>
    <col min="9217" max="9241" width="2.33203125" style="38" customWidth="1"/>
    <col min="9242" max="9246" width="2.109375" style="38" customWidth="1"/>
    <col min="9247" max="9255" width="2.33203125" style="38" customWidth="1"/>
    <col min="9256" max="9260" width="2.109375" style="38" customWidth="1"/>
    <col min="9261" max="9472" width="8.88671875" style="38"/>
    <col min="9473" max="9497" width="2.33203125" style="38" customWidth="1"/>
    <col min="9498" max="9502" width="2.109375" style="38" customWidth="1"/>
    <col min="9503" max="9511" width="2.33203125" style="38" customWidth="1"/>
    <col min="9512" max="9516" width="2.109375" style="38" customWidth="1"/>
    <col min="9517" max="9728" width="8.88671875" style="38"/>
    <col min="9729" max="9753" width="2.33203125" style="38" customWidth="1"/>
    <col min="9754" max="9758" width="2.109375" style="38" customWidth="1"/>
    <col min="9759" max="9767" width="2.33203125" style="38" customWidth="1"/>
    <col min="9768" max="9772" width="2.109375" style="38" customWidth="1"/>
    <col min="9773" max="9984" width="8.88671875" style="38"/>
    <col min="9985" max="10009" width="2.33203125" style="38" customWidth="1"/>
    <col min="10010" max="10014" width="2.109375" style="38" customWidth="1"/>
    <col min="10015" max="10023" width="2.33203125" style="38" customWidth="1"/>
    <col min="10024" max="10028" width="2.109375" style="38" customWidth="1"/>
    <col min="10029" max="10240" width="8.88671875" style="38"/>
    <col min="10241" max="10265" width="2.33203125" style="38" customWidth="1"/>
    <col min="10266" max="10270" width="2.109375" style="38" customWidth="1"/>
    <col min="10271" max="10279" width="2.33203125" style="38" customWidth="1"/>
    <col min="10280" max="10284" width="2.109375" style="38" customWidth="1"/>
    <col min="10285" max="10496" width="8.88671875" style="38"/>
    <col min="10497" max="10521" width="2.33203125" style="38" customWidth="1"/>
    <col min="10522" max="10526" width="2.109375" style="38" customWidth="1"/>
    <col min="10527" max="10535" width="2.33203125" style="38" customWidth="1"/>
    <col min="10536" max="10540" width="2.109375" style="38" customWidth="1"/>
    <col min="10541" max="10752" width="8.88671875" style="38"/>
    <col min="10753" max="10777" width="2.33203125" style="38" customWidth="1"/>
    <col min="10778" max="10782" width="2.109375" style="38" customWidth="1"/>
    <col min="10783" max="10791" width="2.33203125" style="38" customWidth="1"/>
    <col min="10792" max="10796" width="2.109375" style="38" customWidth="1"/>
    <col min="10797" max="11008" width="8.88671875" style="38"/>
    <col min="11009" max="11033" width="2.33203125" style="38" customWidth="1"/>
    <col min="11034" max="11038" width="2.109375" style="38" customWidth="1"/>
    <col min="11039" max="11047" width="2.33203125" style="38" customWidth="1"/>
    <col min="11048" max="11052" width="2.109375" style="38" customWidth="1"/>
    <col min="11053" max="11264" width="8.88671875" style="38"/>
    <col min="11265" max="11289" width="2.33203125" style="38" customWidth="1"/>
    <col min="11290" max="11294" width="2.109375" style="38" customWidth="1"/>
    <col min="11295" max="11303" width="2.33203125" style="38" customWidth="1"/>
    <col min="11304" max="11308" width="2.109375" style="38" customWidth="1"/>
    <col min="11309" max="11520" width="8.88671875" style="38"/>
    <col min="11521" max="11545" width="2.33203125" style="38" customWidth="1"/>
    <col min="11546" max="11550" width="2.109375" style="38" customWidth="1"/>
    <col min="11551" max="11559" width="2.33203125" style="38" customWidth="1"/>
    <col min="11560" max="11564" width="2.109375" style="38" customWidth="1"/>
    <col min="11565" max="11776" width="8.88671875" style="38"/>
    <col min="11777" max="11801" width="2.33203125" style="38" customWidth="1"/>
    <col min="11802" max="11806" width="2.109375" style="38" customWidth="1"/>
    <col min="11807" max="11815" width="2.33203125" style="38" customWidth="1"/>
    <col min="11816" max="11820" width="2.109375" style="38" customWidth="1"/>
    <col min="11821" max="12032" width="8.88671875" style="38"/>
    <col min="12033" max="12057" width="2.33203125" style="38" customWidth="1"/>
    <col min="12058" max="12062" width="2.109375" style="38" customWidth="1"/>
    <col min="12063" max="12071" width="2.33203125" style="38" customWidth="1"/>
    <col min="12072" max="12076" width="2.109375" style="38" customWidth="1"/>
    <col min="12077" max="12288" width="8.88671875" style="38"/>
    <col min="12289" max="12313" width="2.33203125" style="38" customWidth="1"/>
    <col min="12314" max="12318" width="2.109375" style="38" customWidth="1"/>
    <col min="12319" max="12327" width="2.33203125" style="38" customWidth="1"/>
    <col min="12328" max="12332" width="2.109375" style="38" customWidth="1"/>
    <col min="12333" max="12544" width="8.88671875" style="38"/>
    <col min="12545" max="12569" width="2.33203125" style="38" customWidth="1"/>
    <col min="12570" max="12574" width="2.109375" style="38" customWidth="1"/>
    <col min="12575" max="12583" width="2.33203125" style="38" customWidth="1"/>
    <col min="12584" max="12588" width="2.109375" style="38" customWidth="1"/>
    <col min="12589" max="12800" width="8.88671875" style="38"/>
    <col min="12801" max="12825" width="2.33203125" style="38" customWidth="1"/>
    <col min="12826" max="12830" width="2.109375" style="38" customWidth="1"/>
    <col min="12831" max="12839" width="2.33203125" style="38" customWidth="1"/>
    <col min="12840" max="12844" width="2.109375" style="38" customWidth="1"/>
    <col min="12845" max="13056" width="8.88671875" style="38"/>
    <col min="13057" max="13081" width="2.33203125" style="38" customWidth="1"/>
    <col min="13082" max="13086" width="2.109375" style="38" customWidth="1"/>
    <col min="13087" max="13095" width="2.33203125" style="38" customWidth="1"/>
    <col min="13096" max="13100" width="2.109375" style="38" customWidth="1"/>
    <col min="13101" max="13312" width="8.88671875" style="38"/>
    <col min="13313" max="13337" width="2.33203125" style="38" customWidth="1"/>
    <col min="13338" max="13342" width="2.109375" style="38" customWidth="1"/>
    <col min="13343" max="13351" width="2.33203125" style="38" customWidth="1"/>
    <col min="13352" max="13356" width="2.109375" style="38" customWidth="1"/>
    <col min="13357" max="13568" width="8.88671875" style="38"/>
    <col min="13569" max="13593" width="2.33203125" style="38" customWidth="1"/>
    <col min="13594" max="13598" width="2.109375" style="38" customWidth="1"/>
    <col min="13599" max="13607" width="2.33203125" style="38" customWidth="1"/>
    <col min="13608" max="13612" width="2.109375" style="38" customWidth="1"/>
    <col min="13613" max="13824" width="8.88671875" style="38"/>
    <col min="13825" max="13849" width="2.33203125" style="38" customWidth="1"/>
    <col min="13850" max="13854" width="2.109375" style="38" customWidth="1"/>
    <col min="13855" max="13863" width="2.33203125" style="38" customWidth="1"/>
    <col min="13864" max="13868" width="2.109375" style="38" customWidth="1"/>
    <col min="13869" max="14080" width="8.88671875" style="38"/>
    <col min="14081" max="14105" width="2.33203125" style="38" customWidth="1"/>
    <col min="14106" max="14110" width="2.109375" style="38" customWidth="1"/>
    <col min="14111" max="14119" width="2.33203125" style="38" customWidth="1"/>
    <col min="14120" max="14124" width="2.109375" style="38" customWidth="1"/>
    <col min="14125" max="14336" width="8.88671875" style="38"/>
    <col min="14337" max="14361" width="2.33203125" style="38" customWidth="1"/>
    <col min="14362" max="14366" width="2.109375" style="38" customWidth="1"/>
    <col min="14367" max="14375" width="2.33203125" style="38" customWidth="1"/>
    <col min="14376" max="14380" width="2.109375" style="38" customWidth="1"/>
    <col min="14381" max="14592" width="8.88671875" style="38"/>
    <col min="14593" max="14617" width="2.33203125" style="38" customWidth="1"/>
    <col min="14618" max="14622" width="2.109375" style="38" customWidth="1"/>
    <col min="14623" max="14631" width="2.33203125" style="38" customWidth="1"/>
    <col min="14632" max="14636" width="2.109375" style="38" customWidth="1"/>
    <col min="14637" max="14848" width="8.88671875" style="38"/>
    <col min="14849" max="14873" width="2.33203125" style="38" customWidth="1"/>
    <col min="14874" max="14878" width="2.109375" style="38" customWidth="1"/>
    <col min="14879" max="14887" width="2.33203125" style="38" customWidth="1"/>
    <col min="14888" max="14892" width="2.109375" style="38" customWidth="1"/>
    <col min="14893" max="15104" width="8.88671875" style="38"/>
    <col min="15105" max="15129" width="2.33203125" style="38" customWidth="1"/>
    <col min="15130" max="15134" width="2.109375" style="38" customWidth="1"/>
    <col min="15135" max="15143" width="2.33203125" style="38" customWidth="1"/>
    <col min="15144" max="15148" width="2.109375" style="38" customWidth="1"/>
    <col min="15149" max="15360" width="8.88671875" style="38"/>
    <col min="15361" max="15385" width="2.33203125" style="38" customWidth="1"/>
    <col min="15386" max="15390" width="2.109375" style="38" customWidth="1"/>
    <col min="15391" max="15399" width="2.33203125" style="38" customWidth="1"/>
    <col min="15400" max="15404" width="2.109375" style="38" customWidth="1"/>
    <col min="15405" max="15616" width="8.88671875" style="38"/>
    <col min="15617" max="15641" width="2.33203125" style="38" customWidth="1"/>
    <col min="15642" max="15646" width="2.109375" style="38" customWidth="1"/>
    <col min="15647" max="15655" width="2.33203125" style="38" customWidth="1"/>
    <col min="15656" max="15660" width="2.109375" style="38" customWidth="1"/>
    <col min="15661" max="15872" width="8.88671875" style="38"/>
    <col min="15873" max="15897" width="2.33203125" style="38" customWidth="1"/>
    <col min="15898" max="15902" width="2.109375" style="38" customWidth="1"/>
    <col min="15903" max="15911" width="2.33203125" style="38" customWidth="1"/>
    <col min="15912" max="15916" width="2.109375" style="38" customWidth="1"/>
    <col min="15917" max="16128" width="8.88671875" style="38"/>
    <col min="16129" max="16153" width="2.33203125" style="38" customWidth="1"/>
    <col min="16154" max="16158" width="2.109375" style="38" customWidth="1"/>
    <col min="16159" max="16167" width="2.33203125" style="38" customWidth="1"/>
    <col min="16168" max="16172" width="2.109375" style="38" customWidth="1"/>
    <col min="16173" max="16384" width="8.88671875" style="38"/>
  </cols>
  <sheetData>
    <row r="1" spans="1:256" ht="20.399999999999999" x14ac:dyDescent="0.3">
      <c r="A1" s="37" t="s">
        <v>40</v>
      </c>
      <c r="AO1" s="41">
        <v>0</v>
      </c>
      <c r="AP1" s="42"/>
      <c r="AQ1" s="42"/>
      <c r="AR1" s="41">
        <v>0</v>
      </c>
      <c r="AV1" s="43">
        <v>1.3888888888888888E-2</v>
      </c>
    </row>
    <row r="2" spans="1:256" x14ac:dyDescent="0.3">
      <c r="A2" s="38" t="s">
        <v>42</v>
      </c>
      <c r="E2" s="38" t="s">
        <v>76</v>
      </c>
      <c r="P2" s="44" t="s">
        <v>22</v>
      </c>
      <c r="Q2" s="45"/>
      <c r="R2" s="45"/>
      <c r="S2" s="45"/>
      <c r="T2" s="45"/>
      <c r="U2" s="45"/>
      <c r="V2" s="45"/>
      <c r="W2" s="45" t="s">
        <v>3</v>
      </c>
      <c r="X2" s="45"/>
      <c r="Y2" s="46" t="s">
        <v>41</v>
      </c>
      <c r="Z2" s="45"/>
      <c r="AA2" s="45"/>
      <c r="AB2" s="45"/>
      <c r="AC2" s="45"/>
      <c r="AD2" s="47"/>
      <c r="AE2" s="48"/>
      <c r="AF2" s="48"/>
      <c r="AG2" s="49"/>
    </row>
    <row r="3" spans="1:256" ht="15" thickBot="1" x14ac:dyDescent="0.35">
      <c r="A3" s="38" t="s">
        <v>19</v>
      </c>
      <c r="D3" s="415">
        <f>Wedstrijden!I2</f>
        <v>45732</v>
      </c>
      <c r="E3" s="416"/>
      <c r="F3" s="416"/>
      <c r="G3" s="416"/>
      <c r="H3" s="416"/>
      <c r="I3" s="416"/>
      <c r="J3" s="416"/>
      <c r="K3" s="416"/>
      <c r="L3" s="416"/>
      <c r="M3" s="416"/>
      <c r="N3" s="417"/>
      <c r="P3" s="50" t="s">
        <v>18</v>
      </c>
      <c r="Q3" s="51" t="s">
        <v>43</v>
      </c>
      <c r="W3" s="38" t="s">
        <v>0</v>
      </c>
      <c r="Y3" s="51" t="s">
        <v>44</v>
      </c>
      <c r="AG3" s="52"/>
    </row>
    <row r="4" spans="1:256" x14ac:dyDescent="0.3">
      <c r="A4" s="38" t="s">
        <v>20</v>
      </c>
      <c r="D4" s="418">
        <v>18</v>
      </c>
      <c r="E4" s="418"/>
      <c r="F4" s="53"/>
      <c r="G4" s="419">
        <f>VLOOKUP(D4,Wedstrijden!A6:B57,2,0)</f>
        <v>0.6875</v>
      </c>
      <c r="H4" s="419"/>
      <c r="I4" s="419"/>
      <c r="J4" s="54" t="s">
        <v>16</v>
      </c>
      <c r="K4" s="419">
        <f>G4+AV1</f>
        <v>0.70138888888888884</v>
      </c>
      <c r="L4" s="419"/>
      <c r="M4" s="419"/>
      <c r="N4" s="53"/>
      <c r="P4" s="50" t="s">
        <v>17</v>
      </c>
      <c r="Q4" s="51" t="s">
        <v>45</v>
      </c>
      <c r="W4" s="38" t="s">
        <v>9</v>
      </c>
      <c r="Y4" s="51" t="s">
        <v>46</v>
      </c>
      <c r="AG4" s="52"/>
      <c r="BF4" s="406" t="s">
        <v>102</v>
      </c>
      <c r="BG4" s="407"/>
      <c r="BH4" s="407"/>
      <c r="BI4" s="408"/>
    </row>
    <row r="5" spans="1:256" x14ac:dyDescent="0.3">
      <c r="A5" s="38" t="s">
        <v>164</v>
      </c>
      <c r="D5" s="260" t="str">
        <f>VLOOKUP(D4,Wedstrijden!A6:D33,4,0)</f>
        <v>A</v>
      </c>
      <c r="P5" s="50" t="s">
        <v>10</v>
      </c>
      <c r="Q5" s="51" t="s">
        <v>47</v>
      </c>
      <c r="W5" s="38" t="s">
        <v>12</v>
      </c>
      <c r="Y5" s="51" t="s">
        <v>48</v>
      </c>
      <c r="AG5" s="52"/>
      <c r="BF5" s="409"/>
      <c r="BG5" s="410"/>
      <c r="BH5" s="410"/>
      <c r="BI5" s="411"/>
    </row>
    <row r="6" spans="1:256" ht="14.4" thickBot="1" x14ac:dyDescent="0.2">
      <c r="A6" s="38" t="s">
        <v>21</v>
      </c>
      <c r="D6" s="55" t="str">
        <f>Wedstrijden!K2</f>
        <v>Den Bosch</v>
      </c>
      <c r="P6" s="50" t="s">
        <v>11</v>
      </c>
      <c r="Q6" s="51" t="s">
        <v>49</v>
      </c>
      <c r="W6" s="38" t="s">
        <v>13</v>
      </c>
      <c r="Y6" s="51" t="s">
        <v>50</v>
      </c>
      <c r="AG6" s="52"/>
      <c r="AH6" s="354" t="s">
        <v>51</v>
      </c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BF6" s="412"/>
      <c r="BG6" s="413"/>
      <c r="BH6" s="413"/>
      <c r="BI6" s="414"/>
    </row>
    <row r="7" spans="1:256" x14ac:dyDescent="0.2">
      <c r="A7" s="56" t="s">
        <v>52</v>
      </c>
      <c r="B7" s="57"/>
      <c r="C7" s="57"/>
      <c r="D7" s="57"/>
      <c r="E7" s="58" t="s">
        <v>53</v>
      </c>
      <c r="F7" s="57"/>
      <c r="G7" s="59" t="str">
        <f>VLOOKUP(D4,Wedstrijden!A6:L57,5,0)</f>
        <v>RZ Roermond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 t="s">
        <v>54</v>
      </c>
      <c r="X7" s="57"/>
      <c r="Y7" s="57"/>
      <c r="Z7" s="58" t="s">
        <v>55</v>
      </c>
      <c r="AA7" s="58"/>
      <c r="AB7" s="57"/>
      <c r="AC7" s="59" t="str">
        <f>VLOOKUP(D4,Wedstrijden!A6:L57,9,0)</f>
        <v>Gesposs Blauw</v>
      </c>
      <c r="AD7" s="60"/>
      <c r="AE7" s="61"/>
      <c r="AF7" s="61"/>
      <c r="AG7" s="61"/>
      <c r="AH7" s="61"/>
      <c r="AI7" s="61"/>
      <c r="AJ7" s="57"/>
      <c r="AK7" s="57"/>
      <c r="AL7" s="57"/>
      <c r="AM7" s="57"/>
      <c r="AN7" s="57"/>
      <c r="AO7" s="61"/>
      <c r="AP7" s="57"/>
      <c r="AQ7" s="57"/>
      <c r="AR7" s="62"/>
    </row>
    <row r="8" spans="1:256" x14ac:dyDescent="0.3">
      <c r="A8" s="63" t="s">
        <v>56</v>
      </c>
      <c r="B8" s="64"/>
      <c r="C8" s="64"/>
      <c r="D8" s="64"/>
      <c r="E8" s="64"/>
      <c r="F8" s="64"/>
      <c r="G8" s="64"/>
      <c r="H8" s="64"/>
      <c r="I8" s="64"/>
      <c r="J8" s="65" t="str">
        <f>VLOOKUP(D4,Wedstrijden!A6:P343,13,0)</f>
        <v>Jos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 t="s">
        <v>57</v>
      </c>
      <c r="X8" s="64"/>
      <c r="Y8" s="64"/>
      <c r="Z8" s="66" t="str">
        <f>VLOOKUP(D4,Wedstrijden!A6:N170,14,0)</f>
        <v>Dolf</v>
      </c>
      <c r="AA8" s="64"/>
      <c r="AB8" s="64"/>
      <c r="AC8" s="64"/>
      <c r="AD8" s="67"/>
      <c r="AE8" s="68"/>
      <c r="AF8" s="68"/>
      <c r="AG8" s="68"/>
      <c r="AH8" s="68"/>
      <c r="AI8" s="68"/>
      <c r="AJ8" s="69" t="s">
        <v>17</v>
      </c>
      <c r="AK8" s="64"/>
      <c r="AL8" s="64"/>
      <c r="AM8" s="64"/>
      <c r="AN8" s="64"/>
      <c r="AO8" s="68"/>
      <c r="AP8" s="64"/>
      <c r="AQ8" s="64"/>
      <c r="AR8" s="70"/>
    </row>
    <row r="9" spans="1:256" ht="14.4" thickBot="1" x14ac:dyDescent="0.35">
      <c r="A9" s="71" t="s">
        <v>58</v>
      </c>
      <c r="B9" s="72"/>
      <c r="C9" s="72"/>
      <c r="D9" s="72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 t="s">
        <v>59</v>
      </c>
      <c r="X9" s="72"/>
      <c r="Y9" s="72"/>
      <c r="Z9" s="72"/>
      <c r="AA9" s="72"/>
      <c r="AB9" s="73"/>
      <c r="AC9" s="73"/>
      <c r="AD9" s="75"/>
      <c r="AE9" s="76"/>
      <c r="AF9" s="76"/>
      <c r="AG9" s="76"/>
      <c r="AH9" s="76"/>
      <c r="AI9" s="76"/>
      <c r="AJ9" s="73"/>
      <c r="AK9" s="73"/>
      <c r="AL9" s="73"/>
      <c r="AM9" s="73"/>
      <c r="AN9" s="73"/>
      <c r="AO9" s="76"/>
      <c r="AP9" s="73"/>
      <c r="AQ9" s="73"/>
      <c r="AR9" s="77"/>
    </row>
    <row r="10" spans="1:256" ht="15" x14ac:dyDescent="0.3">
      <c r="A10" s="78" t="s">
        <v>60</v>
      </c>
      <c r="B10" s="79"/>
      <c r="C10" s="79"/>
      <c r="D10" s="79"/>
      <c r="E10" s="79"/>
      <c r="F10" s="356" t="str">
        <f>+G7</f>
        <v>RZ Roermond</v>
      </c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7"/>
      <c r="Z10" s="362" t="s">
        <v>8</v>
      </c>
      <c r="AA10" s="363"/>
      <c r="AB10" s="363"/>
      <c r="AC10" s="363"/>
      <c r="AD10" s="364"/>
      <c r="AE10" s="80"/>
      <c r="AF10" s="80"/>
      <c r="AG10" s="80"/>
      <c r="AH10" s="80" t="s">
        <v>61</v>
      </c>
      <c r="AI10" s="80" t="s">
        <v>61</v>
      </c>
      <c r="AJ10" s="371" t="s">
        <v>14</v>
      </c>
      <c r="AK10" s="372"/>
      <c r="AL10" s="377" t="s">
        <v>62</v>
      </c>
      <c r="AM10" s="378"/>
      <c r="AN10" s="383" t="s">
        <v>15</v>
      </c>
      <c r="AO10" s="384"/>
      <c r="AP10" s="384"/>
      <c r="AQ10" s="384"/>
      <c r="AR10" s="385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2" t="s">
        <v>136</v>
      </c>
      <c r="BL10" s="82" t="str">
        <f>CONCATENATE($BL$12&amp;BK10&amp;"x")</f>
        <v>swwx</v>
      </c>
      <c r="BM10" s="82" t="str">
        <f>CONCATENATE($BM$12&amp;BK10&amp;"x")</f>
        <v>dwx</v>
      </c>
      <c r="BN10" s="82" t="str">
        <f>CONCATENATE($BN$12&amp;BK10&amp;"x")</f>
        <v>pwx</v>
      </c>
      <c r="BO10" s="82" t="str">
        <f>CONCATENATE($BO$12&amp;BK10&amp;"x")</f>
        <v>umvwx</v>
      </c>
      <c r="BP10" s="82" t="str">
        <f>CONCATENATE($BP$12&amp;BK10&amp;"x")</f>
        <v>uzvwx</v>
      </c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1" spans="1:256" x14ac:dyDescent="0.3">
      <c r="A11" s="393" t="s">
        <v>7</v>
      </c>
      <c r="B11" s="394"/>
      <c r="C11" s="394"/>
      <c r="D11" s="394"/>
      <c r="E11" s="81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  <c r="Z11" s="365"/>
      <c r="AA11" s="366"/>
      <c r="AB11" s="366"/>
      <c r="AC11" s="366"/>
      <c r="AD11" s="367"/>
      <c r="AE11" s="83" t="s">
        <v>63</v>
      </c>
      <c r="AF11" s="83"/>
      <c r="AG11" s="83"/>
      <c r="AH11" s="83" t="s">
        <v>64</v>
      </c>
      <c r="AI11" s="83" t="s">
        <v>65</v>
      </c>
      <c r="AJ11" s="373"/>
      <c r="AK11" s="374"/>
      <c r="AL11" s="379"/>
      <c r="AM11" s="380"/>
      <c r="AN11" s="386"/>
      <c r="AO11" s="387"/>
      <c r="AP11" s="387"/>
      <c r="AQ11" s="387"/>
      <c r="AR11" s="388"/>
      <c r="AS11" s="81"/>
      <c r="AT11" s="81"/>
      <c r="AU11" s="81" t="s">
        <v>17</v>
      </c>
      <c r="AV11" s="81" t="s">
        <v>18</v>
      </c>
      <c r="AW11" s="81" t="s">
        <v>77</v>
      </c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2" t="s">
        <v>142</v>
      </c>
      <c r="BL11" s="82" t="str">
        <f>CONCATENATE($BL$12&amp;BK11&amp;"x")</f>
        <v>swbx</v>
      </c>
      <c r="BM11" s="82" t="str">
        <f>CONCATENATE($BM$12&amp;BK11&amp;"x")</f>
        <v>dbx</v>
      </c>
      <c r="BN11" s="82" t="str">
        <f>CONCATENATE($BN$12&amp;BK11&amp;"x")</f>
        <v>pbx</v>
      </c>
      <c r="BO11" s="82" t="str">
        <f>CONCATENATE($BO$12&amp;BK11&amp;"x")</f>
        <v>umvbx</v>
      </c>
      <c r="BP11" s="82" t="str">
        <f>CONCATENATE($BP$12&amp;BK11&amp;"x")</f>
        <v>uzvbx</v>
      </c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</row>
    <row r="12" spans="1:256" ht="18" x14ac:dyDescent="0.35">
      <c r="A12" s="395"/>
      <c r="B12" s="396"/>
      <c r="C12" s="396"/>
      <c r="D12" s="394"/>
      <c r="E12" s="81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1"/>
      <c r="Z12" s="368"/>
      <c r="AA12" s="369"/>
      <c r="AB12" s="369"/>
      <c r="AC12" s="369"/>
      <c r="AD12" s="370"/>
      <c r="AE12" s="84" t="s">
        <v>17</v>
      </c>
      <c r="AF12" s="84" t="s">
        <v>10</v>
      </c>
      <c r="AG12" s="84" t="s">
        <v>11</v>
      </c>
      <c r="AH12" s="84" t="s">
        <v>66</v>
      </c>
      <c r="AI12" s="84" t="s">
        <v>66</v>
      </c>
      <c r="AJ12" s="375"/>
      <c r="AK12" s="376"/>
      <c r="AL12" s="381"/>
      <c r="AM12" s="382"/>
      <c r="AN12" s="389" t="s">
        <v>17</v>
      </c>
      <c r="AO12" s="369"/>
      <c r="AP12" s="85"/>
      <c r="AQ12" s="369" t="s">
        <v>18</v>
      </c>
      <c r="AR12" s="390"/>
      <c r="AS12" s="81"/>
      <c r="AT12" s="81"/>
      <c r="AU12" s="81" t="s">
        <v>78</v>
      </c>
      <c r="AV12" s="81" t="s">
        <v>79</v>
      </c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 t="s">
        <v>138</v>
      </c>
      <c r="BM12" s="81" t="s">
        <v>139</v>
      </c>
      <c r="BN12" s="81" t="s">
        <v>79</v>
      </c>
      <c r="BO12" s="81" t="s">
        <v>140</v>
      </c>
      <c r="BP12" s="81" t="s">
        <v>141</v>
      </c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</row>
    <row r="13" spans="1:256" ht="15.6" x14ac:dyDescent="0.3">
      <c r="A13" s="86" t="s">
        <v>0</v>
      </c>
      <c r="B13" s="87" t="s">
        <v>1</v>
      </c>
      <c r="C13" s="88"/>
      <c r="D13" s="89"/>
      <c r="E13" s="88" t="s">
        <v>2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90"/>
      <c r="V13" s="91" t="s">
        <v>3</v>
      </c>
      <c r="W13" s="91" t="s">
        <v>4</v>
      </c>
      <c r="X13" s="91" t="s">
        <v>5</v>
      </c>
      <c r="Y13" s="92" t="s">
        <v>6</v>
      </c>
      <c r="Z13" s="93"/>
      <c r="AA13" s="94">
        <v>0</v>
      </c>
      <c r="AB13" s="95" t="s">
        <v>16</v>
      </c>
      <c r="AC13" s="94">
        <v>3</v>
      </c>
      <c r="AD13" s="96">
        <v>6</v>
      </c>
      <c r="AE13" s="97"/>
      <c r="AF13" s="97"/>
      <c r="AG13" s="98" t="s">
        <v>265</v>
      </c>
      <c r="AH13" s="99"/>
      <c r="AI13" s="99"/>
      <c r="AJ13" s="391" t="s">
        <v>18</v>
      </c>
      <c r="AK13" s="392"/>
      <c r="AL13" s="401">
        <v>8</v>
      </c>
      <c r="AM13" s="402"/>
      <c r="AN13" s="100"/>
      <c r="AO13" s="101">
        <f>IF(BQ13="","",IF(BQ13=$BL$10,"2"+AO1,IF(BQ13=$BM$10,"1"+AO1,IF(BQ13=$BN$10,"0"+AO1,IF(BQ13=$BO$10,"0"+AO1,IF(BQ13=$BP$10,"0"+AO1,"0"+AO1))))))</f>
        <v>0</v>
      </c>
      <c r="AP13" s="95" t="s">
        <v>16</v>
      </c>
      <c r="AQ13" s="102"/>
      <c r="AR13" s="103">
        <f>IF(BQ13="","",IF(BQ13=$BL$11,"2"+AR1,IF(BQ13=$BM$11,"1"+AR1,IF(BQ13=$BN$11,"0"+AR1,IF(BQ13=$BO$11,"0"+AR1,IF(BQ13=$BP$11,"0"+AR1,"0"+AR1))))))</f>
        <v>1</v>
      </c>
      <c r="AY13" s="38" t="str">
        <f>CONCATENATE(AJ13&amp;AL13)</f>
        <v>B8</v>
      </c>
      <c r="AZ13" s="38" t="str">
        <f>IF(AE13=$AW$11,"2","0")</f>
        <v>0</v>
      </c>
      <c r="BA13" s="38" t="str">
        <f>IF(AG13=$AW$11,"1","0")</f>
        <v>1</v>
      </c>
      <c r="BB13" s="38" t="str">
        <f>IF(AF13=$AW$11,"1","0")</f>
        <v>0</v>
      </c>
      <c r="BC13" s="38">
        <f>AZ13+BA13</f>
        <v>1</v>
      </c>
      <c r="BD13" s="38">
        <f>BB13+0</f>
        <v>0</v>
      </c>
      <c r="BL13" s="38" t="str">
        <f>IF(AE13="","",CONCATENATE($BL$12&amp;AJ13&amp;AE13))</f>
        <v/>
      </c>
      <c r="BM13" s="38" t="str">
        <f>IF(AG13="","",CONCATENATE($BM$12&amp;AJ13&amp;AG13))</f>
        <v>dBX</v>
      </c>
      <c r="BN13" s="38" t="str">
        <f>IF(AF13="","",CONCATENATE($BN$12&amp;AJ13,AF13))</f>
        <v/>
      </c>
      <c r="BO13" s="38" t="str">
        <f>IF(AH13="","",CONCATENATE($BO$12&amp;AJ13&amp;AH13))</f>
        <v/>
      </c>
      <c r="BP13" s="38" t="str">
        <f>IF(AI13="","",CONCATENATE($BP$12&amp;AJ13&amp;AI13))</f>
        <v/>
      </c>
      <c r="BQ13" s="38" t="str">
        <f>CONCATENATE(BL13&amp;BM13&amp;BN13&amp;BO13&amp;BP13)</f>
        <v>dBX</v>
      </c>
    </row>
    <row r="14" spans="1:256" ht="15.6" x14ac:dyDescent="0.3">
      <c r="A14" s="104"/>
      <c r="B14" s="397">
        <f>IF(ISBLANK(HLOOKUP($F$10,spelerslijsten!$B$1:$J$22,4,FALSE)),"",HLOOKUP($F$10,spelerslijsten!$B$1:$J$22,4,FALSE))</f>
        <v>3</v>
      </c>
      <c r="C14" s="398"/>
      <c r="D14" s="105"/>
      <c r="E14" s="106" t="str">
        <f>IF(ISBLANK(HLOOKUP($F$10,spelerslijsten!$B$1:$J$22,3,FALSE)),"",HLOOKUP($F$10,spelerslijsten!$B$1:$J$22,3,FALSE))</f>
        <v>Helga Addink</v>
      </c>
      <c r="F14" s="107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8">
        <f t="shared" ref="V14:V20" si="0">SUMIF($AY$13:$AY$46,AT14,$BC$13:$BC$46)</f>
        <v>0</v>
      </c>
      <c r="W14" s="109" t="str">
        <f>IF(AU14&gt;0,"x","")</f>
        <v/>
      </c>
      <c r="X14" s="110" t="str">
        <f>IF(AU14&gt;1,"x","")</f>
        <v/>
      </c>
      <c r="Y14" s="103" t="str">
        <f>IF(AU14&gt;2,"x","")</f>
        <v/>
      </c>
      <c r="Z14" s="111"/>
      <c r="AA14" s="112">
        <v>1</v>
      </c>
      <c r="AB14" s="113" t="str">
        <f>+AB13</f>
        <v>-</v>
      </c>
      <c r="AC14" s="112">
        <v>1</v>
      </c>
      <c r="AD14" s="114">
        <v>3</v>
      </c>
      <c r="AE14" s="115"/>
      <c r="AF14" s="115"/>
      <c r="AG14" s="116" t="s">
        <v>265</v>
      </c>
      <c r="AH14" s="117"/>
      <c r="AI14" s="117"/>
      <c r="AJ14" s="342" t="s">
        <v>17</v>
      </c>
      <c r="AK14" s="343"/>
      <c r="AL14" s="346">
        <v>4</v>
      </c>
      <c r="AM14" s="347"/>
      <c r="AN14" s="118"/>
      <c r="AO14" s="101">
        <f>IF(BQ14="","",IF(BQ14=$BL$10,"2"+AO13,IF(BQ14=$BM$10,"1"+AO13,IF(BQ14=$BN$10,"0"+AO13,IF(BQ14=$BO$10,"0"+AO13,IF(BQ14=$BP$10,"0"+AO13,"0"+AO13))))))</f>
        <v>1</v>
      </c>
      <c r="AP14" s="113" t="str">
        <f>+AP13</f>
        <v>-</v>
      </c>
      <c r="AQ14" s="119"/>
      <c r="AR14" s="103">
        <f>IF(BQ14="","",IF(BQ14=$BL$11,"2"+AR13,IF(BQ14=$BM$11,"1"+AR13,IF(BQ14=$BN$11,"0"+AR13,IF(BQ14=$BO$11,"0"+AR13,IF(BQ14=$BP$11,"0"+AR13,"0"+AR13))))))</f>
        <v>1</v>
      </c>
      <c r="AT14" s="38" t="str">
        <f>CONCATENATE($AU$11&amp;B14)</f>
        <v>W3</v>
      </c>
      <c r="AU14" s="38">
        <f>SUMIF($AY$13:$AY$46,AT14,$BD$13:$BD$46)</f>
        <v>0</v>
      </c>
      <c r="AY14" s="38" t="str">
        <f t="shared" ref="AY14:AY46" si="1">CONCATENATE(AJ14&amp;AL14)</f>
        <v>W4</v>
      </c>
      <c r="AZ14" s="38" t="str">
        <f t="shared" ref="AZ14:AZ46" si="2">IF(AE14=$AW$11,"2","0")</f>
        <v>0</v>
      </c>
      <c r="BA14" s="38" t="str">
        <f t="shared" ref="BA14:BA46" si="3">IF(AG14=$AW$11,"1","0")</f>
        <v>1</v>
      </c>
      <c r="BB14" s="38" t="str">
        <f t="shared" ref="BB14:BB46" si="4">IF(AF14=$AW$11,"1","0")</f>
        <v>0</v>
      </c>
      <c r="BC14" s="38">
        <f t="shared" ref="BC14:BC46" si="5">AZ14+BA14</f>
        <v>1</v>
      </c>
      <c r="BD14" s="38">
        <f t="shared" ref="BD14:BD46" si="6">BB14+0</f>
        <v>0</v>
      </c>
      <c r="BL14" s="38" t="str">
        <f t="shared" ref="BL14:BL46" si="7">IF(AE14="","",CONCATENATE($BL$12&amp;AJ14&amp;AE14))</f>
        <v/>
      </c>
      <c r="BM14" s="38" t="str">
        <f t="shared" ref="BM14:BM46" si="8">IF(AG14="","",CONCATENATE($BM$12&amp;AJ14&amp;AG14))</f>
        <v>dWX</v>
      </c>
      <c r="BN14" s="38" t="str">
        <f t="shared" ref="BN14:BN46" si="9">IF(AF14="","",CONCATENATE($BN$12&amp;AJ14,AF14))</f>
        <v/>
      </c>
      <c r="BO14" s="38" t="str">
        <f t="shared" ref="BO14:BO46" si="10">IF(AH14="","",CONCATENATE($BO$12&amp;AJ14&amp;AH14))</f>
        <v/>
      </c>
      <c r="BP14" s="38" t="str">
        <f t="shared" ref="BP14:BP46" si="11">IF(AI14="","",CONCATENATE($BP$12&amp;AJ14&amp;AI14))</f>
        <v/>
      </c>
      <c r="BQ14" s="38" t="str">
        <f t="shared" ref="BQ14:BQ46" si="12">CONCATENATE(BL14&amp;BM14&amp;BN14&amp;BO14&amp;BP14)</f>
        <v>dWX</v>
      </c>
    </row>
    <row r="15" spans="1:256" ht="15.6" x14ac:dyDescent="0.3">
      <c r="A15" s="120" t="s">
        <v>265</v>
      </c>
      <c r="B15" s="397">
        <f>IF(ISBLANK(HLOOKUP($F$10,spelerslijsten!$B$1:$J$22,6,FALSE)),"",HLOOKUP($F$10,spelerslijsten!$B$1:$J$22,6,FALSE))</f>
        <v>4</v>
      </c>
      <c r="C15" s="398"/>
      <c r="D15" s="121"/>
      <c r="E15" s="122" t="str">
        <f>IF(ISBLANK(HLOOKUP($F$10,spelerslijsten!$B$1:$J$22,5,FALSE)),"",HLOOKUP($F$10,spelerslijsten!$B$1:$J$22,5,FALSE))</f>
        <v>Werner Dudek</v>
      </c>
      <c r="F15" s="123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08">
        <f t="shared" si="0"/>
        <v>1</v>
      </c>
      <c r="W15" s="109" t="str">
        <f t="shared" ref="W15:W23" si="13">IF(AU15&gt;0,"x","")</f>
        <v/>
      </c>
      <c r="X15" s="110" t="str">
        <f t="shared" ref="X15:X23" si="14">IF(AU15&gt;1,"x","")</f>
        <v/>
      </c>
      <c r="Y15" s="103" t="str">
        <f t="shared" ref="Y15:Y23" si="15">IF(AU15&gt;2,"x","")</f>
        <v/>
      </c>
      <c r="Z15" s="111"/>
      <c r="AA15" s="112">
        <v>1</v>
      </c>
      <c r="AB15" s="113" t="str">
        <f t="shared" ref="AB15:AB44" si="16">+AB14</f>
        <v>-</v>
      </c>
      <c r="AC15" s="112">
        <v>5</v>
      </c>
      <c r="AD15" s="114">
        <v>2</v>
      </c>
      <c r="AE15" s="115"/>
      <c r="AF15" s="115"/>
      <c r="AG15" s="116" t="s">
        <v>265</v>
      </c>
      <c r="AH15" s="117"/>
      <c r="AI15" s="117"/>
      <c r="AJ15" s="342" t="s">
        <v>18</v>
      </c>
      <c r="AK15" s="343"/>
      <c r="AL15" s="346">
        <v>7</v>
      </c>
      <c r="AM15" s="347"/>
      <c r="AN15" s="118"/>
      <c r="AO15" s="101">
        <f>IF(BQ15="","",IF(BQ15=$BL$10,"2"+AO14,IF(BQ15=$BM$10,"1"+AO14,IF(BQ15=$BN$10,"0"+AO14,IF(BQ15=$BO$10,"0"+AO14,IF(BQ15=$BP$10,"0"+AO14,"0"+AO14))))))</f>
        <v>1</v>
      </c>
      <c r="AP15" s="113" t="str">
        <f>+AP14</f>
        <v>-</v>
      </c>
      <c r="AQ15" s="119"/>
      <c r="AR15" s="103">
        <f>IF(BQ15="","",IF(BQ15=$BL$11,"2"+AR14,IF(BQ15=$BM$11,"1"+AR14,IF(BQ15=$BN$11,"0"+AR14,IF(BQ15=$BO$11,"0"+AR14,IF(BQ15=$BP$11,"0"+AR14,"0"+AR14))))))</f>
        <v>2</v>
      </c>
      <c r="AT15" s="38" t="str">
        <f t="shared" ref="AT15:AT23" si="17">CONCATENATE($AU$11&amp;B15)</f>
        <v>W4</v>
      </c>
      <c r="AU15" s="38">
        <f t="shared" ref="AU15:AU39" si="18">SUMIF($AY$13:$AY$46,AT15,$BD$13:$BD$46)</f>
        <v>0</v>
      </c>
      <c r="AY15" s="38" t="str">
        <f t="shared" si="1"/>
        <v>B7</v>
      </c>
      <c r="AZ15" s="38" t="str">
        <f t="shared" si="2"/>
        <v>0</v>
      </c>
      <c r="BA15" s="38" t="str">
        <f t="shared" si="3"/>
        <v>1</v>
      </c>
      <c r="BB15" s="38" t="str">
        <f t="shared" si="4"/>
        <v>0</v>
      </c>
      <c r="BC15" s="38">
        <f t="shared" si="5"/>
        <v>1</v>
      </c>
      <c r="BD15" s="38">
        <f t="shared" si="6"/>
        <v>0</v>
      </c>
      <c r="BL15" s="38" t="str">
        <f t="shared" si="7"/>
        <v/>
      </c>
      <c r="BM15" s="38" t="str">
        <f t="shared" si="8"/>
        <v>dBX</v>
      </c>
      <c r="BN15" s="38" t="str">
        <f t="shared" si="9"/>
        <v/>
      </c>
      <c r="BO15" s="38" t="str">
        <f t="shared" si="10"/>
        <v/>
      </c>
      <c r="BP15" s="38" t="str">
        <f t="shared" si="11"/>
        <v/>
      </c>
      <c r="BQ15" s="38" t="str">
        <f t="shared" si="12"/>
        <v>dBX</v>
      </c>
    </row>
    <row r="16" spans="1:256" ht="15.6" x14ac:dyDescent="0.3">
      <c r="A16" s="124" t="s">
        <v>265</v>
      </c>
      <c r="B16" s="397">
        <f>IF(ISBLANK(HLOOKUP($F$10,spelerslijsten!$B$1:$J$22,8,FALSE)),"",HLOOKUP($F$10,spelerslijsten!$B$1:$J$22,8,FALSE))</f>
        <v>5</v>
      </c>
      <c r="C16" s="398"/>
      <c r="D16" s="121"/>
      <c r="E16" s="122" t="str">
        <f>IF(ISBLANK(HLOOKUP($F$10,spelerslijsten!$B$1:$J$22,7,FALSE)),"",HLOOKUP($F$10,spelerslijsten!$B$1:$J$22,7,FALSE))</f>
        <v>Luc Mulder</v>
      </c>
      <c r="F16" s="12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08">
        <f t="shared" si="0"/>
        <v>0</v>
      </c>
      <c r="W16" s="109" t="str">
        <f t="shared" si="13"/>
        <v/>
      </c>
      <c r="X16" s="110" t="str">
        <f t="shared" si="14"/>
        <v/>
      </c>
      <c r="Y16" s="103" t="str">
        <f t="shared" si="15"/>
        <v/>
      </c>
      <c r="Z16" s="111"/>
      <c r="AA16" s="112">
        <v>3</v>
      </c>
      <c r="AB16" s="113" t="str">
        <f t="shared" si="16"/>
        <v>-</v>
      </c>
      <c r="AC16" s="112">
        <v>3</v>
      </c>
      <c r="AD16" s="114">
        <v>9</v>
      </c>
      <c r="AE16" s="115"/>
      <c r="AF16" s="115"/>
      <c r="AG16" s="116" t="s">
        <v>265</v>
      </c>
      <c r="AH16" s="117"/>
      <c r="AI16" s="117"/>
      <c r="AJ16" s="342" t="s">
        <v>18</v>
      </c>
      <c r="AK16" s="343"/>
      <c r="AL16" s="346">
        <v>8</v>
      </c>
      <c r="AM16" s="347"/>
      <c r="AN16" s="118"/>
      <c r="AO16" s="101">
        <f t="shared" ref="AO16:AO46" si="19">IF(BQ16="","",IF(BQ16=$BL$10,"2"+AO15,IF(BQ16=$BM$10,"1"+AO15,IF(BQ16=$BN$10,"0"+AO15,IF(BQ16=$BO$10,"0"+AO15,IF(BQ16=$BP$10,"0"+AO15,"0"+AO15))))))</f>
        <v>1</v>
      </c>
      <c r="AP16" s="113" t="str">
        <f t="shared" ref="AP16:AP46" si="20">+AP15</f>
        <v>-</v>
      </c>
      <c r="AQ16" s="119"/>
      <c r="AR16" s="103">
        <f t="shared" ref="AR16:AR46" si="21">IF(BQ16="","",IF(BQ16=$BL$11,"2"+AR15,IF(BQ16=$BM$11,"1"+AR15,IF(BQ16=$BN$11,"0"+AR15,IF(BQ16=$BO$11,"0"+AR15,IF(BQ16=$BP$11,"0"+AR15,"0"+AR15))))))</f>
        <v>3</v>
      </c>
      <c r="AT16" s="38" t="str">
        <f t="shared" si="17"/>
        <v>W5</v>
      </c>
      <c r="AU16" s="38">
        <f t="shared" si="18"/>
        <v>0</v>
      </c>
      <c r="AY16" s="38" t="str">
        <f t="shared" si="1"/>
        <v>B8</v>
      </c>
      <c r="AZ16" s="38" t="str">
        <f t="shared" si="2"/>
        <v>0</v>
      </c>
      <c r="BA16" s="38" t="str">
        <f t="shared" si="3"/>
        <v>1</v>
      </c>
      <c r="BB16" s="38" t="str">
        <f t="shared" si="4"/>
        <v>0</v>
      </c>
      <c r="BC16" s="38">
        <f t="shared" si="5"/>
        <v>1</v>
      </c>
      <c r="BD16" s="38">
        <f t="shared" si="6"/>
        <v>0</v>
      </c>
      <c r="BL16" s="38" t="str">
        <f t="shared" si="7"/>
        <v/>
      </c>
      <c r="BM16" s="38" t="str">
        <f t="shared" si="8"/>
        <v>dBX</v>
      </c>
      <c r="BN16" s="38" t="str">
        <f t="shared" si="9"/>
        <v/>
      </c>
      <c r="BO16" s="38" t="str">
        <f t="shared" si="10"/>
        <v/>
      </c>
      <c r="BP16" s="38" t="str">
        <f t="shared" si="11"/>
        <v/>
      </c>
      <c r="BQ16" s="38" t="str">
        <f t="shared" si="12"/>
        <v>dBX</v>
      </c>
    </row>
    <row r="17" spans="1:69" ht="15.6" x14ac:dyDescent="0.3">
      <c r="A17" s="124" t="s">
        <v>265</v>
      </c>
      <c r="B17" s="397">
        <f>IF(ISBLANK(HLOOKUP($F$10,spelerslijsten!$B$1:$J$22,10,FALSE)),"",HLOOKUP($F$10,spelerslijsten!$B$1:$J$22,10,FALSE))</f>
        <v>7</v>
      </c>
      <c r="C17" s="398"/>
      <c r="D17" s="121"/>
      <c r="E17" s="122" t="str">
        <f>IF(ISBLANK(HLOOKUP($F$10,spelerslijsten!$B$1:$J$22,9,FALSE)),"",HLOOKUP($F$10,spelerslijsten!$B$1:$J$22,9,FALSE))</f>
        <v>Ties Bouten</v>
      </c>
      <c r="F17" s="12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08">
        <f t="shared" si="0"/>
        <v>0</v>
      </c>
      <c r="W17" s="109" t="str">
        <f t="shared" si="13"/>
        <v/>
      </c>
      <c r="X17" s="110" t="str">
        <f t="shared" si="14"/>
        <v/>
      </c>
      <c r="Y17" s="103" t="str">
        <f t="shared" si="15"/>
        <v/>
      </c>
      <c r="Z17" s="111"/>
      <c r="AA17" s="112">
        <v>5</v>
      </c>
      <c r="AB17" s="113" t="str">
        <f t="shared" si="16"/>
        <v>-</v>
      </c>
      <c r="AC17" s="112">
        <v>1</v>
      </c>
      <c r="AD17" s="114">
        <v>6</v>
      </c>
      <c r="AE17" s="115"/>
      <c r="AF17" s="115"/>
      <c r="AG17" s="116" t="s">
        <v>265</v>
      </c>
      <c r="AH17" s="117"/>
      <c r="AI17" s="117"/>
      <c r="AJ17" s="342" t="s">
        <v>18</v>
      </c>
      <c r="AK17" s="343"/>
      <c r="AL17" s="346">
        <v>7</v>
      </c>
      <c r="AM17" s="347"/>
      <c r="AN17" s="118"/>
      <c r="AO17" s="101">
        <f t="shared" si="19"/>
        <v>1</v>
      </c>
      <c r="AP17" s="113" t="str">
        <f t="shared" si="20"/>
        <v>-</v>
      </c>
      <c r="AQ17" s="119"/>
      <c r="AR17" s="103">
        <f t="shared" si="21"/>
        <v>4</v>
      </c>
      <c r="AT17" s="38" t="str">
        <f t="shared" si="17"/>
        <v>W7</v>
      </c>
      <c r="AU17" s="38">
        <f t="shared" si="18"/>
        <v>0</v>
      </c>
      <c r="AY17" s="38" t="str">
        <f t="shared" si="1"/>
        <v>B7</v>
      </c>
      <c r="AZ17" s="38" t="str">
        <f t="shared" si="2"/>
        <v>0</v>
      </c>
      <c r="BA17" s="38" t="str">
        <f t="shared" si="3"/>
        <v>1</v>
      </c>
      <c r="BB17" s="38" t="str">
        <f t="shared" si="4"/>
        <v>0</v>
      </c>
      <c r="BC17" s="38">
        <f t="shared" si="5"/>
        <v>1</v>
      </c>
      <c r="BD17" s="38">
        <f t="shared" si="6"/>
        <v>0</v>
      </c>
      <c r="BL17" s="38" t="str">
        <f t="shared" si="7"/>
        <v/>
      </c>
      <c r="BM17" s="38" t="str">
        <f t="shared" si="8"/>
        <v>dBX</v>
      </c>
      <c r="BN17" s="38" t="str">
        <f t="shared" si="9"/>
        <v/>
      </c>
      <c r="BO17" s="38" t="str">
        <f t="shared" si="10"/>
        <v/>
      </c>
      <c r="BP17" s="38" t="str">
        <f t="shared" si="11"/>
        <v/>
      </c>
      <c r="BQ17" s="38" t="str">
        <f t="shared" si="12"/>
        <v>dBX</v>
      </c>
    </row>
    <row r="18" spans="1:69" ht="15.6" x14ac:dyDescent="0.3">
      <c r="A18" s="124" t="s">
        <v>265</v>
      </c>
      <c r="B18" s="397">
        <f>IF(ISBLANK(HLOOKUP($F$10,spelerslijsten!$B$1:$J$22,12,FALSE)),"",HLOOKUP($F$10,spelerslijsten!$B$1:$J$22,12,FALSE))</f>
        <v>9</v>
      </c>
      <c r="C18" s="398"/>
      <c r="D18" s="121"/>
      <c r="E18" s="122" t="str">
        <f>IF(ISBLANK(HLOOKUP($F$10,spelerslijsten!$B$1:$J$22,11,FALSE)),"",HLOOKUP($F$10,spelerslijsten!$B$1:$J$22,11,FALSE))</f>
        <v>Wilma van Helden</v>
      </c>
      <c r="F18" s="12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08">
        <f t="shared" si="0"/>
        <v>2</v>
      </c>
      <c r="W18" s="109" t="str">
        <f t="shared" si="13"/>
        <v/>
      </c>
      <c r="X18" s="110" t="str">
        <f t="shared" si="14"/>
        <v/>
      </c>
      <c r="Y18" s="103" t="str">
        <f t="shared" si="15"/>
        <v/>
      </c>
      <c r="Z18" s="111"/>
      <c r="AA18" s="112">
        <v>5</v>
      </c>
      <c r="AB18" s="113" t="s">
        <v>16</v>
      </c>
      <c r="AC18" s="112">
        <v>5</v>
      </c>
      <c r="AD18" s="114">
        <v>9</v>
      </c>
      <c r="AE18" s="115"/>
      <c r="AF18" s="115"/>
      <c r="AG18" s="116" t="s">
        <v>265</v>
      </c>
      <c r="AH18" s="117"/>
      <c r="AI18" s="117"/>
      <c r="AJ18" s="342" t="s">
        <v>18</v>
      </c>
      <c r="AK18" s="343"/>
      <c r="AL18" s="346">
        <v>8</v>
      </c>
      <c r="AM18" s="347"/>
      <c r="AN18" s="118"/>
      <c r="AO18" s="101">
        <f t="shared" si="19"/>
        <v>1</v>
      </c>
      <c r="AP18" s="113" t="str">
        <f t="shared" si="20"/>
        <v>-</v>
      </c>
      <c r="AQ18" s="119"/>
      <c r="AR18" s="103">
        <f t="shared" si="21"/>
        <v>5</v>
      </c>
      <c r="AT18" s="38" t="str">
        <f t="shared" si="17"/>
        <v>W9</v>
      </c>
      <c r="AU18" s="38">
        <f t="shared" si="18"/>
        <v>0</v>
      </c>
      <c r="AY18" s="38" t="str">
        <f t="shared" si="1"/>
        <v>B8</v>
      </c>
      <c r="AZ18" s="38" t="str">
        <f t="shared" si="2"/>
        <v>0</v>
      </c>
      <c r="BA18" s="38" t="str">
        <f t="shared" si="3"/>
        <v>1</v>
      </c>
      <c r="BB18" s="38" t="str">
        <f t="shared" si="4"/>
        <v>0</v>
      </c>
      <c r="BC18" s="38">
        <f t="shared" si="5"/>
        <v>1</v>
      </c>
      <c r="BD18" s="38">
        <f t="shared" si="6"/>
        <v>0</v>
      </c>
      <c r="BL18" s="38" t="str">
        <f t="shared" si="7"/>
        <v/>
      </c>
      <c r="BM18" s="38" t="str">
        <f t="shared" si="8"/>
        <v>dBX</v>
      </c>
      <c r="BN18" s="38" t="str">
        <f t="shared" si="9"/>
        <v/>
      </c>
      <c r="BO18" s="38" t="str">
        <f t="shared" si="10"/>
        <v/>
      </c>
      <c r="BP18" s="38" t="str">
        <f t="shared" si="11"/>
        <v/>
      </c>
      <c r="BQ18" s="38" t="str">
        <f t="shared" si="12"/>
        <v>dBX</v>
      </c>
    </row>
    <row r="19" spans="1:69" ht="15.6" x14ac:dyDescent="0.3">
      <c r="A19" s="124" t="s">
        <v>265</v>
      </c>
      <c r="B19" s="397">
        <f>IF(ISBLANK(HLOOKUP($F$10,spelerslijsten!$B$1:$J$22,14,FALSE)),"",HLOOKUP($F$10,spelerslijsten!$B$1:$J$22,14,FALSE))</f>
        <v>11</v>
      </c>
      <c r="C19" s="398"/>
      <c r="D19" s="121"/>
      <c r="E19" s="122" t="str">
        <f>IF(ISBLANK(HLOOKUP($F$10,spelerslijsten!$B$1:$J$22,13,FALSE)),"",HLOOKUP($F$10,spelerslijsten!$B$1:$J$22,13,FALSE))</f>
        <v>Sonja Bouten</v>
      </c>
      <c r="F19" s="12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08">
        <f t="shared" si="0"/>
        <v>1</v>
      </c>
      <c r="W19" s="109" t="str">
        <f t="shared" si="13"/>
        <v/>
      </c>
      <c r="X19" s="110" t="str">
        <f t="shared" si="14"/>
        <v/>
      </c>
      <c r="Y19" s="103" t="str">
        <f t="shared" si="15"/>
        <v/>
      </c>
      <c r="Z19" s="111"/>
      <c r="AA19" s="112">
        <v>7</v>
      </c>
      <c r="AB19" s="113" t="str">
        <f t="shared" si="16"/>
        <v>-</v>
      </c>
      <c r="AC19" s="112">
        <v>0</v>
      </c>
      <c r="AD19" s="114">
        <v>0</v>
      </c>
      <c r="AE19" s="115"/>
      <c r="AF19" s="115"/>
      <c r="AG19" s="116" t="s">
        <v>265</v>
      </c>
      <c r="AH19" s="117"/>
      <c r="AI19" s="117"/>
      <c r="AJ19" s="342" t="s">
        <v>17</v>
      </c>
      <c r="AK19" s="343"/>
      <c r="AL19" s="346">
        <v>11</v>
      </c>
      <c r="AM19" s="347"/>
      <c r="AN19" s="118"/>
      <c r="AO19" s="101">
        <f t="shared" si="19"/>
        <v>2</v>
      </c>
      <c r="AP19" s="113" t="str">
        <f t="shared" si="20"/>
        <v>-</v>
      </c>
      <c r="AQ19" s="119"/>
      <c r="AR19" s="103">
        <f t="shared" si="21"/>
        <v>5</v>
      </c>
      <c r="AT19" s="38" t="str">
        <f t="shared" si="17"/>
        <v>W11</v>
      </c>
      <c r="AU19" s="38">
        <f t="shared" si="18"/>
        <v>0</v>
      </c>
      <c r="AY19" s="38" t="str">
        <f t="shared" si="1"/>
        <v>W11</v>
      </c>
      <c r="AZ19" s="38" t="str">
        <f t="shared" si="2"/>
        <v>0</v>
      </c>
      <c r="BA19" s="38" t="str">
        <f t="shared" si="3"/>
        <v>1</v>
      </c>
      <c r="BB19" s="38" t="str">
        <f t="shared" si="4"/>
        <v>0</v>
      </c>
      <c r="BC19" s="38">
        <f t="shared" si="5"/>
        <v>1</v>
      </c>
      <c r="BD19" s="38">
        <f t="shared" si="6"/>
        <v>0</v>
      </c>
      <c r="BL19" s="38" t="str">
        <f t="shared" si="7"/>
        <v/>
      </c>
      <c r="BM19" s="38" t="str">
        <f t="shared" si="8"/>
        <v>dWX</v>
      </c>
      <c r="BN19" s="38" t="str">
        <f t="shared" si="9"/>
        <v/>
      </c>
      <c r="BO19" s="38" t="str">
        <f t="shared" si="10"/>
        <v/>
      </c>
      <c r="BP19" s="38" t="str">
        <f t="shared" si="11"/>
        <v/>
      </c>
      <c r="BQ19" s="38" t="str">
        <f t="shared" si="12"/>
        <v>dWX</v>
      </c>
    </row>
    <row r="20" spans="1:69" ht="15.6" x14ac:dyDescent="0.3">
      <c r="A20" s="124" t="s">
        <v>265</v>
      </c>
      <c r="B20" s="397">
        <f>IF(ISBLANK(HLOOKUP($F$10,spelerslijsten!$B$1:$J$22,16,FALSE)),"",HLOOKUP($F$10,spelerslijsten!$B$1:$J$22,16,FALSE))</f>
        <v>12</v>
      </c>
      <c r="C20" s="398"/>
      <c r="D20" s="121"/>
      <c r="E20" s="122" t="str">
        <f>IF(ISBLANK(HLOOKUP($F$10,spelerslijsten!$B$1:$J$22,15,FALSE)),"",HLOOKUP($F$10,spelerslijsten!$B$1:$J$22,15,FALSE))</f>
        <v>Hans Reijnders (leen)</v>
      </c>
      <c r="F20" s="12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08">
        <f t="shared" si="0"/>
        <v>0</v>
      </c>
      <c r="W20" s="109" t="str">
        <f t="shared" si="13"/>
        <v/>
      </c>
      <c r="X20" s="110" t="str">
        <f t="shared" si="14"/>
        <v/>
      </c>
      <c r="Y20" s="103" t="str">
        <f t="shared" si="15"/>
        <v/>
      </c>
      <c r="Z20" s="111"/>
      <c r="AA20" s="112">
        <v>8</v>
      </c>
      <c r="AB20" s="113" t="str">
        <f t="shared" si="16"/>
        <v>-</v>
      </c>
      <c r="AC20" s="112">
        <v>3</v>
      </c>
      <c r="AD20" s="114">
        <v>9</v>
      </c>
      <c r="AE20" s="115"/>
      <c r="AF20" s="115"/>
      <c r="AG20" s="116" t="s">
        <v>265</v>
      </c>
      <c r="AH20" s="117"/>
      <c r="AI20" s="117"/>
      <c r="AJ20" s="342" t="s">
        <v>17</v>
      </c>
      <c r="AK20" s="343"/>
      <c r="AL20" s="346">
        <v>9</v>
      </c>
      <c r="AM20" s="347"/>
      <c r="AN20" s="118"/>
      <c r="AO20" s="101">
        <f t="shared" si="19"/>
        <v>3</v>
      </c>
      <c r="AP20" s="113" t="str">
        <f t="shared" si="20"/>
        <v>-</v>
      </c>
      <c r="AQ20" s="119"/>
      <c r="AR20" s="103">
        <f t="shared" si="21"/>
        <v>5</v>
      </c>
      <c r="AT20" s="38" t="str">
        <f t="shared" si="17"/>
        <v>W12</v>
      </c>
      <c r="AU20" s="38">
        <f t="shared" si="18"/>
        <v>0</v>
      </c>
      <c r="AY20" s="38" t="str">
        <f t="shared" si="1"/>
        <v>W9</v>
      </c>
      <c r="AZ20" s="38" t="str">
        <f t="shared" si="2"/>
        <v>0</v>
      </c>
      <c r="BA20" s="38" t="str">
        <f t="shared" si="3"/>
        <v>1</v>
      </c>
      <c r="BB20" s="38" t="str">
        <f t="shared" si="4"/>
        <v>0</v>
      </c>
      <c r="BC20" s="38">
        <f t="shared" si="5"/>
        <v>1</v>
      </c>
      <c r="BD20" s="38">
        <f t="shared" si="6"/>
        <v>0</v>
      </c>
      <c r="BL20" s="38" t="str">
        <f t="shared" si="7"/>
        <v/>
      </c>
      <c r="BM20" s="38" t="str">
        <f t="shared" si="8"/>
        <v>dWX</v>
      </c>
      <c r="BN20" s="38" t="str">
        <f t="shared" si="9"/>
        <v/>
      </c>
      <c r="BO20" s="38" t="str">
        <f t="shared" si="10"/>
        <v/>
      </c>
      <c r="BP20" s="38" t="str">
        <f t="shared" si="11"/>
        <v/>
      </c>
      <c r="BQ20" s="38" t="str">
        <f t="shared" si="12"/>
        <v>dWX</v>
      </c>
    </row>
    <row r="21" spans="1:69" ht="15.6" x14ac:dyDescent="0.3">
      <c r="A21" s="124"/>
      <c r="B21" s="397" t="str">
        <f>IF(ISBLANK(HLOOKUP($F$10,spelerslijsten!$B$1:$J$22,18,FALSE)),"",HLOOKUP($F$10,spelerslijsten!$B$1:$J$22,18,FALSE))</f>
        <v/>
      </c>
      <c r="C21" s="398"/>
      <c r="D21" s="121"/>
      <c r="E21" s="122" t="str">
        <f>IF(ISBLANK(HLOOKUP($F$10,spelerslijsten!$B$1:$J$22,17,FALSE)),"",HLOOKUP($F$10,spelerslijsten!$B$1:$J$22,17,FALSE))</f>
        <v/>
      </c>
      <c r="F21" s="12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08">
        <f>SUMIF($AY$13:$AY$46,AT21,$BC$13:$BC$46)</f>
        <v>0</v>
      </c>
      <c r="W21" s="109" t="str">
        <f t="shared" si="13"/>
        <v/>
      </c>
      <c r="X21" s="110" t="str">
        <f t="shared" si="14"/>
        <v/>
      </c>
      <c r="Y21" s="103" t="str">
        <f t="shared" si="15"/>
        <v/>
      </c>
      <c r="Z21" s="111"/>
      <c r="AA21" s="112">
        <v>9</v>
      </c>
      <c r="AB21" s="113" t="str">
        <f t="shared" si="16"/>
        <v>-</v>
      </c>
      <c r="AC21" s="112">
        <v>4</v>
      </c>
      <c r="AD21" s="114">
        <v>5</v>
      </c>
      <c r="AE21" s="115"/>
      <c r="AF21" s="115"/>
      <c r="AG21" s="116" t="s">
        <v>265</v>
      </c>
      <c r="AH21" s="117"/>
      <c r="AI21" s="117"/>
      <c r="AJ21" s="342" t="s">
        <v>18</v>
      </c>
      <c r="AK21" s="343"/>
      <c r="AL21" s="346">
        <v>8</v>
      </c>
      <c r="AM21" s="347"/>
      <c r="AN21" s="118"/>
      <c r="AO21" s="101">
        <f t="shared" si="19"/>
        <v>3</v>
      </c>
      <c r="AP21" s="113" t="str">
        <f t="shared" si="20"/>
        <v>-</v>
      </c>
      <c r="AQ21" s="119"/>
      <c r="AR21" s="103">
        <f t="shared" si="21"/>
        <v>6</v>
      </c>
      <c r="AT21" s="38" t="str">
        <f t="shared" si="17"/>
        <v>W</v>
      </c>
      <c r="AU21" s="38">
        <f t="shared" si="18"/>
        <v>0</v>
      </c>
      <c r="AY21" s="38" t="str">
        <f t="shared" si="1"/>
        <v>B8</v>
      </c>
      <c r="AZ21" s="38" t="str">
        <f t="shared" si="2"/>
        <v>0</v>
      </c>
      <c r="BA21" s="38" t="str">
        <f t="shared" si="3"/>
        <v>1</v>
      </c>
      <c r="BB21" s="38" t="str">
        <f t="shared" si="4"/>
        <v>0</v>
      </c>
      <c r="BC21" s="38">
        <f t="shared" si="5"/>
        <v>1</v>
      </c>
      <c r="BD21" s="38">
        <f t="shared" si="6"/>
        <v>0</v>
      </c>
      <c r="BL21" s="38" t="str">
        <f t="shared" si="7"/>
        <v/>
      </c>
      <c r="BM21" s="38" t="str">
        <f t="shared" si="8"/>
        <v>dBX</v>
      </c>
      <c r="BN21" s="38" t="str">
        <f t="shared" si="9"/>
        <v/>
      </c>
      <c r="BO21" s="38" t="str">
        <f t="shared" si="10"/>
        <v/>
      </c>
      <c r="BP21" s="38" t="str">
        <f t="shared" si="11"/>
        <v/>
      </c>
      <c r="BQ21" s="38" t="str">
        <f t="shared" si="12"/>
        <v>dBX</v>
      </c>
    </row>
    <row r="22" spans="1:69" ht="15.6" x14ac:dyDescent="0.3">
      <c r="A22" s="124"/>
      <c r="B22" s="397" t="str">
        <f>IF(ISBLANK(HLOOKUP($F$10,spelerslijsten!$B$1:$J$22,20,FALSE)),"",HLOOKUP($F$10,spelerslijsten!$B$1:$J$22,20,FALSE))</f>
        <v/>
      </c>
      <c r="C22" s="398"/>
      <c r="D22" s="121"/>
      <c r="E22" s="122" t="str">
        <f>IF(ISBLANK(HLOOKUP($F$10,spelerslijsten!$B$1:$J$22,19,FALSE)),"",HLOOKUP($F$10,spelerslijsten!$B$1:$J$22,19,FALSE))</f>
        <v/>
      </c>
      <c r="F22" s="12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08">
        <f t="shared" ref="V22:V23" si="22">SUMIF($AY$13:$AY$46,AT22,$BC$13:$BC$46)</f>
        <v>0</v>
      </c>
      <c r="W22" s="109" t="str">
        <f t="shared" si="13"/>
        <v/>
      </c>
      <c r="X22" s="110" t="str">
        <f t="shared" si="14"/>
        <v/>
      </c>
      <c r="Y22" s="103" t="str">
        <f t="shared" si="15"/>
        <v/>
      </c>
      <c r="Z22" s="111">
        <v>1</v>
      </c>
      <c r="AA22" s="112">
        <v>2</v>
      </c>
      <c r="AB22" s="113" t="str">
        <f t="shared" si="16"/>
        <v>-</v>
      </c>
      <c r="AC22" s="112">
        <v>3</v>
      </c>
      <c r="AD22" s="114">
        <v>6</v>
      </c>
      <c r="AE22" s="115"/>
      <c r="AF22" s="115"/>
      <c r="AG22" s="116" t="s">
        <v>265</v>
      </c>
      <c r="AH22" s="117"/>
      <c r="AI22" s="117"/>
      <c r="AJ22" s="342" t="s">
        <v>18</v>
      </c>
      <c r="AK22" s="343"/>
      <c r="AL22" s="346">
        <v>10</v>
      </c>
      <c r="AM22" s="347"/>
      <c r="AN22" s="118"/>
      <c r="AO22" s="101">
        <f t="shared" si="19"/>
        <v>3</v>
      </c>
      <c r="AP22" s="113" t="str">
        <f t="shared" si="20"/>
        <v>-</v>
      </c>
      <c r="AQ22" s="119"/>
      <c r="AR22" s="103">
        <f t="shared" si="21"/>
        <v>7</v>
      </c>
      <c r="AT22" s="38" t="str">
        <f t="shared" si="17"/>
        <v>W</v>
      </c>
      <c r="AU22" s="38">
        <f t="shared" si="18"/>
        <v>0</v>
      </c>
      <c r="AY22" s="38" t="str">
        <f t="shared" si="1"/>
        <v>B10</v>
      </c>
      <c r="AZ22" s="38" t="str">
        <f t="shared" si="2"/>
        <v>0</v>
      </c>
      <c r="BA22" s="38" t="str">
        <f t="shared" si="3"/>
        <v>1</v>
      </c>
      <c r="BB22" s="38" t="str">
        <f t="shared" si="4"/>
        <v>0</v>
      </c>
      <c r="BC22" s="38">
        <f t="shared" si="5"/>
        <v>1</v>
      </c>
      <c r="BD22" s="38">
        <f t="shared" si="6"/>
        <v>0</v>
      </c>
      <c r="BL22" s="38" t="str">
        <f t="shared" si="7"/>
        <v/>
      </c>
      <c r="BM22" s="38" t="str">
        <f t="shared" si="8"/>
        <v>dBX</v>
      </c>
      <c r="BN22" s="38" t="str">
        <f t="shared" si="9"/>
        <v/>
      </c>
      <c r="BO22" s="38" t="str">
        <f t="shared" si="10"/>
        <v/>
      </c>
      <c r="BP22" s="38" t="str">
        <f t="shared" si="11"/>
        <v/>
      </c>
      <c r="BQ22" s="38" t="str">
        <f t="shared" si="12"/>
        <v>dBX</v>
      </c>
    </row>
    <row r="23" spans="1:69" ht="15.6" x14ac:dyDescent="0.3">
      <c r="A23" s="125"/>
      <c r="B23" s="397" t="str">
        <f>IF(ISBLANK(HLOOKUP($F$10,spelerslijsten!$B$1:$J$22,22,FALSE)),"",HLOOKUP($F$10,spelerslijsten!$B$1:$J$22,22,FALSE))</f>
        <v/>
      </c>
      <c r="C23" s="398"/>
      <c r="D23" s="126"/>
      <c r="E23" s="259" t="str">
        <f>IF(ISBLANK(HLOOKUP($F$10,spelerslijsten!$B$1:$J$22,21,FALSE)),"",HLOOKUP($F$10,spelerslijsten!$B$1:$J$22,21,FALSE))</f>
        <v/>
      </c>
      <c r="F23" s="126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08">
        <f t="shared" si="22"/>
        <v>0</v>
      </c>
      <c r="W23" s="109" t="str">
        <f t="shared" si="13"/>
        <v/>
      </c>
      <c r="X23" s="110" t="str">
        <f t="shared" si="14"/>
        <v/>
      </c>
      <c r="Y23" s="103" t="str">
        <f t="shared" si="15"/>
        <v/>
      </c>
      <c r="Z23" s="111">
        <v>1</v>
      </c>
      <c r="AA23" s="112">
        <v>3</v>
      </c>
      <c r="AB23" s="113" t="str">
        <f t="shared" si="16"/>
        <v>-</v>
      </c>
      <c r="AC23" s="112">
        <v>5</v>
      </c>
      <c r="AD23" s="114">
        <v>5</v>
      </c>
      <c r="AE23" s="115"/>
      <c r="AF23" s="115"/>
      <c r="AG23" s="116" t="s">
        <v>265</v>
      </c>
      <c r="AH23" s="117"/>
      <c r="AI23" s="117"/>
      <c r="AJ23" s="342" t="s">
        <v>18</v>
      </c>
      <c r="AK23" s="343"/>
      <c r="AL23" s="346">
        <v>8</v>
      </c>
      <c r="AM23" s="347"/>
      <c r="AN23" s="118"/>
      <c r="AO23" s="101">
        <f t="shared" si="19"/>
        <v>3</v>
      </c>
      <c r="AP23" s="113" t="str">
        <f t="shared" si="20"/>
        <v>-</v>
      </c>
      <c r="AQ23" s="119"/>
      <c r="AR23" s="103">
        <f t="shared" si="21"/>
        <v>8</v>
      </c>
      <c r="AT23" s="38" t="str">
        <f t="shared" si="17"/>
        <v>W</v>
      </c>
      <c r="AU23" s="38">
        <f t="shared" si="18"/>
        <v>0</v>
      </c>
      <c r="AY23" s="38" t="str">
        <f t="shared" si="1"/>
        <v>B8</v>
      </c>
      <c r="AZ23" s="38" t="str">
        <f t="shared" si="2"/>
        <v>0</v>
      </c>
      <c r="BA23" s="38" t="str">
        <f t="shared" si="3"/>
        <v>1</v>
      </c>
      <c r="BB23" s="38" t="str">
        <f t="shared" si="4"/>
        <v>0</v>
      </c>
      <c r="BC23" s="38">
        <f t="shared" si="5"/>
        <v>1</v>
      </c>
      <c r="BD23" s="38">
        <f t="shared" si="6"/>
        <v>0</v>
      </c>
      <c r="BL23" s="38" t="str">
        <f t="shared" si="7"/>
        <v/>
      </c>
      <c r="BM23" s="38" t="str">
        <f t="shared" si="8"/>
        <v>dBX</v>
      </c>
      <c r="BN23" s="38" t="str">
        <f t="shared" si="9"/>
        <v/>
      </c>
      <c r="BO23" s="38" t="str">
        <f t="shared" si="10"/>
        <v/>
      </c>
      <c r="BP23" s="38" t="str">
        <f t="shared" si="11"/>
        <v/>
      </c>
      <c r="BQ23" s="38" t="str">
        <f t="shared" si="12"/>
        <v>dBX</v>
      </c>
    </row>
    <row r="24" spans="1:69" ht="16.2" thickBot="1" x14ac:dyDescent="0.35">
      <c r="A24" s="71" t="s">
        <v>67</v>
      </c>
      <c r="B24" s="72"/>
      <c r="C24" s="72"/>
      <c r="D24" s="72"/>
      <c r="E24" s="72"/>
      <c r="F24" s="72"/>
      <c r="G24" s="72"/>
      <c r="I24" s="399">
        <f>HLOOKUP(F10,spelerslijsten!B1:J25,25,FALSE)</f>
        <v>6</v>
      </c>
      <c r="J24" s="400"/>
      <c r="K24" s="74" t="s">
        <v>23</v>
      </c>
      <c r="L24" s="72"/>
      <c r="M24" s="72"/>
      <c r="N24" s="129" t="str">
        <f>HLOOKUP(F10,spelerslijsten!B1:J25,23,FALSE)</f>
        <v>Sol Geraedts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30"/>
      <c r="Z24" s="131">
        <v>1</v>
      </c>
      <c r="AA24" s="132">
        <v>4</v>
      </c>
      <c r="AB24" s="133" t="str">
        <f t="shared" si="16"/>
        <v>-</v>
      </c>
      <c r="AC24" s="132">
        <v>0</v>
      </c>
      <c r="AD24" s="134">
        <v>0</v>
      </c>
      <c r="AE24" s="135"/>
      <c r="AF24" s="135"/>
      <c r="AG24" s="136" t="s">
        <v>265</v>
      </c>
      <c r="AH24" s="137"/>
      <c r="AI24" s="137"/>
      <c r="AJ24" s="342" t="s">
        <v>17</v>
      </c>
      <c r="AK24" s="343"/>
      <c r="AL24" s="350">
        <v>9</v>
      </c>
      <c r="AM24" s="351"/>
      <c r="AN24" s="138"/>
      <c r="AO24" s="101">
        <f t="shared" si="19"/>
        <v>4</v>
      </c>
      <c r="AP24" s="113" t="str">
        <f t="shared" si="20"/>
        <v>-</v>
      </c>
      <c r="AQ24" s="119"/>
      <c r="AR24" s="103">
        <f t="shared" si="21"/>
        <v>8</v>
      </c>
      <c r="AY24" s="38" t="str">
        <f t="shared" si="1"/>
        <v>W9</v>
      </c>
      <c r="AZ24" s="38" t="str">
        <f t="shared" si="2"/>
        <v>0</v>
      </c>
      <c r="BA24" s="38" t="str">
        <f t="shared" si="3"/>
        <v>1</v>
      </c>
      <c r="BB24" s="38" t="str">
        <f t="shared" si="4"/>
        <v>0</v>
      </c>
      <c r="BC24" s="38">
        <f t="shared" si="5"/>
        <v>1</v>
      </c>
      <c r="BD24" s="38">
        <f t="shared" si="6"/>
        <v>0</v>
      </c>
      <c r="BL24" s="38" t="str">
        <f t="shared" si="7"/>
        <v/>
      </c>
      <c r="BM24" s="38" t="str">
        <f t="shared" si="8"/>
        <v>dWX</v>
      </c>
      <c r="BN24" s="38" t="str">
        <f t="shared" si="9"/>
        <v/>
      </c>
      <c r="BO24" s="38" t="str">
        <f t="shared" si="10"/>
        <v/>
      </c>
      <c r="BP24" s="38" t="str">
        <f t="shared" si="11"/>
        <v/>
      </c>
      <c r="BQ24" s="38" t="str">
        <f t="shared" si="12"/>
        <v>dWX</v>
      </c>
    </row>
    <row r="25" spans="1:69" ht="15" customHeight="1" x14ac:dyDescent="0.3">
      <c r="A25" s="78" t="s">
        <v>60</v>
      </c>
      <c r="B25" s="79"/>
      <c r="C25" s="79"/>
      <c r="D25" s="79"/>
      <c r="E25" s="79"/>
      <c r="F25" s="356" t="str">
        <f>+AC7</f>
        <v>Gesposs Blauw</v>
      </c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7"/>
      <c r="Z25" s="139"/>
      <c r="AA25" s="140"/>
      <c r="AB25" s="141" t="str">
        <f t="shared" si="16"/>
        <v>-</v>
      </c>
      <c r="AC25" s="140"/>
      <c r="AD25" s="142"/>
      <c r="AE25" s="143"/>
      <c r="AF25" s="143"/>
      <c r="AG25" s="144"/>
      <c r="AH25" s="145"/>
      <c r="AI25" s="145"/>
      <c r="AJ25" s="342"/>
      <c r="AK25" s="343"/>
      <c r="AL25" s="346"/>
      <c r="AM25" s="347"/>
      <c r="AN25" s="146"/>
      <c r="AO25" s="101" t="str">
        <f t="shared" si="19"/>
        <v/>
      </c>
      <c r="AP25" s="113" t="str">
        <f t="shared" si="20"/>
        <v>-</v>
      </c>
      <c r="AQ25" s="119"/>
      <c r="AR25" s="103" t="str">
        <f t="shared" si="21"/>
        <v/>
      </c>
      <c r="AY25" s="38" t="str">
        <f t="shared" si="1"/>
        <v/>
      </c>
      <c r="AZ25" s="38" t="str">
        <f t="shared" si="2"/>
        <v>0</v>
      </c>
      <c r="BA25" s="38" t="str">
        <f t="shared" si="3"/>
        <v>0</v>
      </c>
      <c r="BB25" s="38" t="str">
        <f t="shared" si="4"/>
        <v>0</v>
      </c>
      <c r="BC25" s="38">
        <f t="shared" si="5"/>
        <v>0</v>
      </c>
      <c r="BD25" s="38">
        <f t="shared" si="6"/>
        <v>0</v>
      </c>
      <c r="BL25" s="38" t="str">
        <f t="shared" si="7"/>
        <v/>
      </c>
      <c r="BM25" s="38" t="str">
        <f t="shared" si="8"/>
        <v/>
      </c>
      <c r="BN25" s="38" t="str">
        <f t="shared" si="9"/>
        <v/>
      </c>
      <c r="BO25" s="38" t="str">
        <f t="shared" si="10"/>
        <v/>
      </c>
      <c r="BP25" s="38" t="str">
        <f t="shared" si="11"/>
        <v/>
      </c>
      <c r="BQ25" s="38" t="str">
        <f t="shared" si="12"/>
        <v/>
      </c>
    </row>
    <row r="26" spans="1:69" ht="15" customHeight="1" x14ac:dyDescent="0.3">
      <c r="A26" s="393" t="s">
        <v>24</v>
      </c>
      <c r="B26" s="394"/>
      <c r="C26" s="394"/>
      <c r="D26" s="394"/>
      <c r="E26" s="81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9"/>
      <c r="Z26" s="139"/>
      <c r="AA26" s="140"/>
      <c r="AB26" s="141" t="s">
        <v>16</v>
      </c>
      <c r="AC26" s="140"/>
      <c r="AD26" s="142"/>
      <c r="AE26" s="143"/>
      <c r="AF26" s="143"/>
      <c r="AG26" s="144"/>
      <c r="AH26" s="145"/>
      <c r="AI26" s="145"/>
      <c r="AJ26" s="342"/>
      <c r="AK26" s="343"/>
      <c r="AL26" s="346"/>
      <c r="AM26" s="347"/>
      <c r="AN26" s="146"/>
      <c r="AO26" s="101" t="str">
        <f t="shared" si="19"/>
        <v/>
      </c>
      <c r="AP26" s="113" t="str">
        <f t="shared" si="20"/>
        <v>-</v>
      </c>
      <c r="AQ26" s="119"/>
      <c r="AR26" s="103" t="str">
        <f t="shared" si="21"/>
        <v/>
      </c>
      <c r="AY26" s="38" t="str">
        <f t="shared" si="1"/>
        <v/>
      </c>
      <c r="AZ26" s="38" t="str">
        <f t="shared" si="2"/>
        <v>0</v>
      </c>
      <c r="BA26" s="38" t="str">
        <f t="shared" si="3"/>
        <v>0</v>
      </c>
      <c r="BB26" s="38" t="str">
        <f t="shared" si="4"/>
        <v>0</v>
      </c>
      <c r="BC26" s="38">
        <f t="shared" si="5"/>
        <v>0</v>
      </c>
      <c r="BD26" s="38">
        <f t="shared" si="6"/>
        <v>0</v>
      </c>
      <c r="BL26" s="38" t="str">
        <f t="shared" si="7"/>
        <v/>
      </c>
      <c r="BM26" s="38" t="str">
        <f t="shared" si="8"/>
        <v/>
      </c>
      <c r="BN26" s="38" t="str">
        <f t="shared" si="9"/>
        <v/>
      </c>
      <c r="BO26" s="38" t="str">
        <f t="shared" si="10"/>
        <v/>
      </c>
      <c r="BP26" s="38" t="str">
        <f t="shared" si="11"/>
        <v/>
      </c>
      <c r="BQ26" s="38" t="str">
        <f t="shared" si="12"/>
        <v/>
      </c>
    </row>
    <row r="27" spans="1:69" ht="15.6" x14ac:dyDescent="0.3">
      <c r="A27" s="393"/>
      <c r="B27" s="394"/>
      <c r="C27" s="394"/>
      <c r="D27" s="394"/>
      <c r="E27" s="81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9"/>
      <c r="Z27" s="139"/>
      <c r="AA27" s="140"/>
      <c r="AB27" s="141" t="s">
        <v>16</v>
      </c>
      <c r="AC27" s="140"/>
      <c r="AD27" s="142"/>
      <c r="AE27" s="143"/>
      <c r="AF27" s="143"/>
      <c r="AG27" s="144"/>
      <c r="AH27" s="145"/>
      <c r="AI27" s="145"/>
      <c r="AJ27" s="342"/>
      <c r="AK27" s="343"/>
      <c r="AL27" s="346"/>
      <c r="AM27" s="347"/>
      <c r="AN27" s="146"/>
      <c r="AO27" s="101" t="str">
        <f t="shared" si="19"/>
        <v/>
      </c>
      <c r="AP27" s="113" t="str">
        <f t="shared" si="20"/>
        <v>-</v>
      </c>
      <c r="AQ27" s="119"/>
      <c r="AR27" s="103" t="str">
        <f t="shared" si="21"/>
        <v/>
      </c>
      <c r="AY27" s="38" t="str">
        <f t="shared" si="1"/>
        <v/>
      </c>
      <c r="AZ27" s="38" t="str">
        <f t="shared" si="2"/>
        <v>0</v>
      </c>
      <c r="BA27" s="38" t="str">
        <f t="shared" si="3"/>
        <v>0</v>
      </c>
      <c r="BB27" s="38" t="str">
        <f t="shared" si="4"/>
        <v>0</v>
      </c>
      <c r="BC27" s="38">
        <f t="shared" si="5"/>
        <v>0</v>
      </c>
      <c r="BD27" s="38">
        <f t="shared" si="6"/>
        <v>0</v>
      </c>
      <c r="BL27" s="38" t="str">
        <f t="shared" si="7"/>
        <v/>
      </c>
      <c r="BM27" s="38" t="str">
        <f t="shared" si="8"/>
        <v/>
      </c>
      <c r="BN27" s="38" t="str">
        <f t="shared" si="9"/>
        <v/>
      </c>
      <c r="BO27" s="38" t="str">
        <f t="shared" si="10"/>
        <v/>
      </c>
      <c r="BP27" s="38" t="str">
        <f t="shared" si="11"/>
        <v/>
      </c>
      <c r="BQ27" s="38" t="str">
        <f t="shared" si="12"/>
        <v/>
      </c>
    </row>
    <row r="28" spans="1:69" ht="15.6" x14ac:dyDescent="0.3">
      <c r="A28" s="395"/>
      <c r="B28" s="396"/>
      <c r="C28" s="396"/>
      <c r="D28" s="396"/>
      <c r="E28" s="81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1"/>
      <c r="Z28" s="147"/>
      <c r="AA28" s="140"/>
      <c r="AB28" s="148" t="str">
        <f>+AB25</f>
        <v>-</v>
      </c>
      <c r="AC28" s="140"/>
      <c r="AD28" s="142"/>
      <c r="AE28" s="143"/>
      <c r="AF28" s="143"/>
      <c r="AG28" s="144"/>
      <c r="AH28" s="145"/>
      <c r="AI28" s="145"/>
      <c r="AJ28" s="342"/>
      <c r="AK28" s="343"/>
      <c r="AL28" s="346"/>
      <c r="AM28" s="347"/>
      <c r="AN28" s="146"/>
      <c r="AO28" s="101" t="str">
        <f t="shared" si="19"/>
        <v/>
      </c>
      <c r="AP28" s="113" t="str">
        <f t="shared" si="20"/>
        <v>-</v>
      </c>
      <c r="AQ28" s="119"/>
      <c r="AR28" s="103" t="str">
        <f t="shared" si="21"/>
        <v/>
      </c>
      <c r="AY28" s="38" t="str">
        <f t="shared" si="1"/>
        <v/>
      </c>
      <c r="AZ28" s="38" t="str">
        <f t="shared" si="2"/>
        <v>0</v>
      </c>
      <c r="BA28" s="38" t="str">
        <f t="shared" si="3"/>
        <v>0</v>
      </c>
      <c r="BB28" s="38" t="str">
        <f t="shared" si="4"/>
        <v>0</v>
      </c>
      <c r="BC28" s="38">
        <f t="shared" si="5"/>
        <v>0</v>
      </c>
      <c r="BD28" s="38">
        <f t="shared" si="6"/>
        <v>0</v>
      </c>
      <c r="BL28" s="38" t="str">
        <f t="shared" si="7"/>
        <v/>
      </c>
      <c r="BM28" s="38" t="str">
        <f t="shared" si="8"/>
        <v/>
      </c>
      <c r="BN28" s="38" t="str">
        <f t="shared" si="9"/>
        <v/>
      </c>
      <c r="BO28" s="38" t="str">
        <f t="shared" si="10"/>
        <v/>
      </c>
      <c r="BP28" s="38" t="str">
        <f t="shared" si="11"/>
        <v/>
      </c>
      <c r="BQ28" s="38" t="str">
        <f t="shared" si="12"/>
        <v/>
      </c>
    </row>
    <row r="29" spans="1:69" ht="15.6" x14ac:dyDescent="0.3">
      <c r="A29" s="86" t="s">
        <v>0</v>
      </c>
      <c r="B29" s="87" t="s">
        <v>1</v>
      </c>
      <c r="C29" s="64"/>
      <c r="D29" s="89"/>
      <c r="E29" s="88" t="s">
        <v>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90"/>
      <c r="V29" s="91" t="s">
        <v>3</v>
      </c>
      <c r="W29" s="91" t="s">
        <v>4</v>
      </c>
      <c r="X29" s="91" t="s">
        <v>5</v>
      </c>
      <c r="Y29" s="92" t="s">
        <v>6</v>
      </c>
      <c r="Z29" s="111"/>
      <c r="AA29" s="149"/>
      <c r="AB29" s="150" t="str">
        <f t="shared" si="16"/>
        <v>-</v>
      </c>
      <c r="AC29" s="149"/>
      <c r="AD29" s="151"/>
      <c r="AE29" s="152"/>
      <c r="AF29" s="152"/>
      <c r="AG29" s="153"/>
      <c r="AH29" s="154"/>
      <c r="AI29" s="154"/>
      <c r="AJ29" s="342"/>
      <c r="AK29" s="343"/>
      <c r="AL29" s="348"/>
      <c r="AM29" s="349"/>
      <c r="AN29" s="155"/>
      <c r="AO29" s="101" t="str">
        <f t="shared" si="19"/>
        <v/>
      </c>
      <c r="AP29" s="113" t="str">
        <f t="shared" si="20"/>
        <v>-</v>
      </c>
      <c r="AQ29" s="119"/>
      <c r="AR29" s="103" t="str">
        <f t="shared" si="21"/>
        <v/>
      </c>
      <c r="AY29" s="38" t="str">
        <f t="shared" si="1"/>
        <v/>
      </c>
      <c r="AZ29" s="38" t="str">
        <f t="shared" si="2"/>
        <v>0</v>
      </c>
      <c r="BA29" s="38" t="str">
        <f t="shared" si="3"/>
        <v>0</v>
      </c>
      <c r="BB29" s="38" t="str">
        <f t="shared" si="4"/>
        <v>0</v>
      </c>
      <c r="BC29" s="38">
        <f t="shared" si="5"/>
        <v>0</v>
      </c>
      <c r="BD29" s="38">
        <f t="shared" si="6"/>
        <v>0</v>
      </c>
      <c r="BL29" s="38" t="str">
        <f t="shared" si="7"/>
        <v/>
      </c>
      <c r="BM29" s="38" t="str">
        <f t="shared" si="8"/>
        <v/>
      </c>
      <c r="BN29" s="38" t="str">
        <f t="shared" si="9"/>
        <v/>
      </c>
      <c r="BO29" s="38" t="str">
        <f t="shared" si="10"/>
        <v/>
      </c>
      <c r="BP29" s="38" t="str">
        <f t="shared" si="11"/>
        <v/>
      </c>
      <c r="BQ29" s="38" t="str">
        <f t="shared" si="12"/>
        <v/>
      </c>
    </row>
    <row r="30" spans="1:69" ht="15.6" x14ac:dyDescent="0.3">
      <c r="A30" s="104"/>
      <c r="B30" s="397">
        <f>IF(ISBLANK(HLOOKUP($F$25,spelerslijsten!$B$1:$J$22,4,FALSE)),"",HLOOKUP($F$25,spelerslijsten!$B$1:$J$22,4,FALSE))</f>
        <v>2</v>
      </c>
      <c r="C30" s="398"/>
      <c r="D30" s="105"/>
      <c r="E30" s="106" t="str">
        <f>IF(ISBLANK(HLOOKUP($F$25,spelerslijsten!$B$1:$J$22,3,FALSE)),"",HLOOKUP($F$25,spelerslijsten!$B$1:$J$22,3,FALSE))</f>
        <v>Jack Steeghs</v>
      </c>
      <c r="F30" s="105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8">
        <f t="shared" ref="V30:V39" si="23">SUMIF($AY$13:$AY$46,AT30,$BC$13:$BC$46)</f>
        <v>0</v>
      </c>
      <c r="W30" s="109" t="str">
        <f>IF(AU30&gt;0,"x","")</f>
        <v/>
      </c>
      <c r="X30" s="110" t="str">
        <f>IF(AU30&gt;1,"x","")</f>
        <v/>
      </c>
      <c r="Y30" s="103" t="str">
        <f>IF(AU30&gt;2,"x","")</f>
        <v/>
      </c>
      <c r="Z30" s="111"/>
      <c r="AA30" s="112"/>
      <c r="AB30" s="113" t="str">
        <f t="shared" si="16"/>
        <v>-</v>
      </c>
      <c r="AC30" s="112"/>
      <c r="AD30" s="114"/>
      <c r="AE30" s="115"/>
      <c r="AF30" s="115"/>
      <c r="AG30" s="116"/>
      <c r="AH30" s="117"/>
      <c r="AI30" s="117"/>
      <c r="AJ30" s="342"/>
      <c r="AK30" s="343"/>
      <c r="AL30" s="346"/>
      <c r="AM30" s="347"/>
      <c r="AN30" s="118"/>
      <c r="AO30" s="101" t="str">
        <f t="shared" si="19"/>
        <v/>
      </c>
      <c r="AP30" s="113" t="str">
        <f t="shared" si="20"/>
        <v>-</v>
      </c>
      <c r="AQ30" s="119"/>
      <c r="AR30" s="103" t="str">
        <f t="shared" si="21"/>
        <v/>
      </c>
      <c r="AT30" s="38" t="str">
        <f>CONCATENATE($AV$11&amp;B30)</f>
        <v>B2</v>
      </c>
      <c r="AU30" s="38">
        <f t="shared" si="18"/>
        <v>0</v>
      </c>
      <c r="AY30" s="38" t="str">
        <f t="shared" si="1"/>
        <v/>
      </c>
      <c r="AZ30" s="38" t="str">
        <f t="shared" si="2"/>
        <v>0</v>
      </c>
      <c r="BA30" s="38" t="str">
        <f t="shared" si="3"/>
        <v>0</v>
      </c>
      <c r="BB30" s="38" t="str">
        <f t="shared" si="4"/>
        <v>0</v>
      </c>
      <c r="BC30" s="38">
        <f t="shared" si="5"/>
        <v>0</v>
      </c>
      <c r="BD30" s="38">
        <f t="shared" si="6"/>
        <v>0</v>
      </c>
      <c r="BL30" s="38" t="str">
        <f t="shared" si="7"/>
        <v/>
      </c>
      <c r="BM30" s="38" t="str">
        <f t="shared" si="8"/>
        <v/>
      </c>
      <c r="BN30" s="38" t="str">
        <f t="shared" si="9"/>
        <v/>
      </c>
      <c r="BO30" s="38" t="str">
        <f t="shared" si="10"/>
        <v/>
      </c>
      <c r="BP30" s="38" t="str">
        <f t="shared" si="11"/>
        <v/>
      </c>
      <c r="BQ30" s="38" t="str">
        <f t="shared" si="12"/>
        <v/>
      </c>
    </row>
    <row r="31" spans="1:69" ht="15.6" x14ac:dyDescent="0.3">
      <c r="A31" s="120" t="s">
        <v>265</v>
      </c>
      <c r="B31" s="397">
        <f>IF(ISBLANK(HLOOKUP($F$25,spelerslijsten!$B$1:$J$22,6,FALSE)),"",HLOOKUP($F$25,spelerslijsten!$B$1:$J$22,6,FALSE))</f>
        <v>3</v>
      </c>
      <c r="C31" s="398"/>
      <c r="D31" s="121"/>
      <c r="E31" s="122" t="str">
        <f>IF(ISBLANK(HLOOKUP($F$25,spelerslijsten!$B$1:$J$22,5,FALSE)),"",HLOOKUP($F$25,spelerslijsten!$B$1:$J$22,5,FALSE))</f>
        <v>Niels Venterink</v>
      </c>
      <c r="F31" s="12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08">
        <f t="shared" si="23"/>
        <v>0</v>
      </c>
      <c r="W31" s="109" t="str">
        <f t="shared" ref="W31:W39" si="24">IF(AU31&gt;0,"x","")</f>
        <v/>
      </c>
      <c r="X31" s="110" t="str">
        <f t="shared" ref="X31:X39" si="25">IF(AU31&gt;1,"x","")</f>
        <v/>
      </c>
      <c r="Y31" s="103" t="str">
        <f t="shared" ref="Y31:Y39" si="26">IF(AU31&gt;2,"x","")</f>
        <v/>
      </c>
      <c r="Z31" s="111"/>
      <c r="AA31" s="112"/>
      <c r="AB31" s="113" t="str">
        <f t="shared" si="16"/>
        <v>-</v>
      </c>
      <c r="AC31" s="112"/>
      <c r="AD31" s="114"/>
      <c r="AE31" s="115"/>
      <c r="AF31" s="115"/>
      <c r="AG31" s="116"/>
      <c r="AH31" s="117"/>
      <c r="AI31" s="117"/>
      <c r="AJ31" s="342"/>
      <c r="AK31" s="343"/>
      <c r="AL31" s="346"/>
      <c r="AM31" s="347"/>
      <c r="AN31" s="118"/>
      <c r="AO31" s="101" t="str">
        <f t="shared" si="19"/>
        <v/>
      </c>
      <c r="AP31" s="113" t="str">
        <f t="shared" si="20"/>
        <v>-</v>
      </c>
      <c r="AQ31" s="119"/>
      <c r="AR31" s="103" t="str">
        <f t="shared" si="21"/>
        <v/>
      </c>
      <c r="AT31" s="38" t="str">
        <f t="shared" ref="AT31:AT39" si="27">CONCATENATE($AV$11&amp;B31)</f>
        <v>B3</v>
      </c>
      <c r="AU31" s="38">
        <f t="shared" si="18"/>
        <v>0</v>
      </c>
      <c r="AY31" s="38" t="str">
        <f t="shared" si="1"/>
        <v/>
      </c>
      <c r="AZ31" s="38" t="str">
        <f t="shared" si="2"/>
        <v>0</v>
      </c>
      <c r="BA31" s="38" t="str">
        <f t="shared" si="3"/>
        <v>0</v>
      </c>
      <c r="BB31" s="38" t="str">
        <f t="shared" si="4"/>
        <v>0</v>
      </c>
      <c r="BC31" s="38">
        <f t="shared" si="5"/>
        <v>0</v>
      </c>
      <c r="BD31" s="38">
        <f t="shared" si="6"/>
        <v>0</v>
      </c>
      <c r="BL31" s="38" t="str">
        <f t="shared" si="7"/>
        <v/>
      </c>
      <c r="BM31" s="38" t="str">
        <f t="shared" si="8"/>
        <v/>
      </c>
      <c r="BN31" s="38" t="str">
        <f t="shared" si="9"/>
        <v/>
      </c>
      <c r="BO31" s="38" t="str">
        <f t="shared" si="10"/>
        <v/>
      </c>
      <c r="BP31" s="38" t="str">
        <f t="shared" si="11"/>
        <v/>
      </c>
      <c r="BQ31" s="38" t="str">
        <f t="shared" si="12"/>
        <v/>
      </c>
    </row>
    <row r="32" spans="1:69" ht="15.6" x14ac:dyDescent="0.3">
      <c r="A32" s="124"/>
      <c r="B32" s="397">
        <f>IF(ISBLANK(HLOOKUP($F$25,spelerslijsten!$B$1:$J$22,8,FALSE)),"",HLOOKUP($F$25,spelerslijsten!$B$1:$J$22,8,FALSE))</f>
        <v>4</v>
      </c>
      <c r="C32" s="398"/>
      <c r="D32" s="121"/>
      <c r="E32" s="122" t="str">
        <f>IF(ISBLANK(HLOOKUP($F$25,spelerslijsten!$B$1:$J$22,7,FALSE)),"",HLOOKUP($F$25,spelerslijsten!$B$1:$J$22,7,FALSE))</f>
        <v>Wendy Kuysters</v>
      </c>
      <c r="F32" s="12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08">
        <f t="shared" si="23"/>
        <v>0</v>
      </c>
      <c r="W32" s="109" t="str">
        <f t="shared" si="24"/>
        <v/>
      </c>
      <c r="X32" s="110" t="str">
        <f t="shared" si="25"/>
        <v/>
      </c>
      <c r="Y32" s="103" t="str">
        <f t="shared" si="26"/>
        <v/>
      </c>
      <c r="Z32" s="111"/>
      <c r="AA32" s="112"/>
      <c r="AB32" s="113" t="str">
        <f t="shared" si="16"/>
        <v>-</v>
      </c>
      <c r="AC32" s="112"/>
      <c r="AD32" s="114"/>
      <c r="AE32" s="115"/>
      <c r="AF32" s="115"/>
      <c r="AG32" s="116"/>
      <c r="AH32" s="117"/>
      <c r="AI32" s="117"/>
      <c r="AJ32" s="342"/>
      <c r="AK32" s="343"/>
      <c r="AL32" s="346"/>
      <c r="AM32" s="347"/>
      <c r="AN32" s="118"/>
      <c r="AO32" s="101" t="str">
        <f t="shared" si="19"/>
        <v/>
      </c>
      <c r="AP32" s="113" t="str">
        <f t="shared" si="20"/>
        <v>-</v>
      </c>
      <c r="AQ32" s="119"/>
      <c r="AR32" s="103" t="str">
        <f t="shared" si="21"/>
        <v/>
      </c>
      <c r="AT32" s="38" t="str">
        <f t="shared" si="27"/>
        <v>B4</v>
      </c>
      <c r="AU32" s="38">
        <f t="shared" si="18"/>
        <v>0</v>
      </c>
      <c r="AY32" s="38" t="str">
        <f t="shared" si="1"/>
        <v/>
      </c>
      <c r="AZ32" s="38" t="str">
        <f t="shared" si="2"/>
        <v>0</v>
      </c>
      <c r="BA32" s="38" t="str">
        <f t="shared" si="3"/>
        <v>0</v>
      </c>
      <c r="BB32" s="38" t="str">
        <f t="shared" si="4"/>
        <v>0</v>
      </c>
      <c r="BC32" s="38">
        <f t="shared" si="5"/>
        <v>0</v>
      </c>
      <c r="BD32" s="38">
        <f t="shared" si="6"/>
        <v>0</v>
      </c>
      <c r="BL32" s="38" t="str">
        <f t="shared" si="7"/>
        <v/>
      </c>
      <c r="BM32" s="38" t="str">
        <f t="shared" si="8"/>
        <v/>
      </c>
      <c r="BN32" s="38" t="str">
        <f t="shared" si="9"/>
        <v/>
      </c>
      <c r="BO32" s="38" t="str">
        <f t="shared" si="10"/>
        <v/>
      </c>
      <c r="BP32" s="38" t="str">
        <f t="shared" si="11"/>
        <v/>
      </c>
      <c r="BQ32" s="38" t="str">
        <f t="shared" si="12"/>
        <v/>
      </c>
    </row>
    <row r="33" spans="1:69" ht="15.6" x14ac:dyDescent="0.3">
      <c r="A33" s="124" t="s">
        <v>265</v>
      </c>
      <c r="B33" s="397">
        <f>IF(ISBLANK(HLOOKUP($F$25,spelerslijsten!$B$1:$J$22,10,FALSE)),"",HLOOKUP($F$25,spelerslijsten!$B$1:$J$22,10,FALSE))</f>
        <v>6</v>
      </c>
      <c r="C33" s="398"/>
      <c r="D33" s="121"/>
      <c r="E33" s="122" t="str">
        <f>IF(ISBLANK(HLOOKUP($F$25,spelerslijsten!$B$1:$J$22,9,FALSE)),"",HLOOKUP($F$25,spelerslijsten!$B$1:$J$22,9,FALSE))</f>
        <v>Kristel Henst</v>
      </c>
      <c r="F33" s="12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08">
        <f t="shared" si="23"/>
        <v>0</v>
      </c>
      <c r="W33" s="109" t="str">
        <f t="shared" si="24"/>
        <v/>
      </c>
      <c r="X33" s="110" t="str">
        <f t="shared" si="25"/>
        <v/>
      </c>
      <c r="Y33" s="103" t="str">
        <f t="shared" si="26"/>
        <v/>
      </c>
      <c r="Z33" s="111"/>
      <c r="AA33" s="112"/>
      <c r="AB33" s="113" t="str">
        <f t="shared" si="16"/>
        <v>-</v>
      </c>
      <c r="AC33" s="112"/>
      <c r="AD33" s="114"/>
      <c r="AE33" s="115"/>
      <c r="AF33" s="115"/>
      <c r="AG33" s="116"/>
      <c r="AH33" s="117"/>
      <c r="AI33" s="117"/>
      <c r="AJ33" s="342"/>
      <c r="AK33" s="343"/>
      <c r="AL33" s="346"/>
      <c r="AM33" s="347"/>
      <c r="AN33" s="118"/>
      <c r="AO33" s="101" t="str">
        <f t="shared" si="19"/>
        <v/>
      </c>
      <c r="AP33" s="113" t="str">
        <f t="shared" si="20"/>
        <v>-</v>
      </c>
      <c r="AQ33" s="119"/>
      <c r="AR33" s="103" t="str">
        <f t="shared" si="21"/>
        <v/>
      </c>
      <c r="AT33" s="38" t="str">
        <f t="shared" si="27"/>
        <v>B6</v>
      </c>
      <c r="AU33" s="38">
        <f t="shared" si="18"/>
        <v>0</v>
      </c>
      <c r="AY33" s="38" t="str">
        <f t="shared" si="1"/>
        <v/>
      </c>
      <c r="AZ33" s="38" t="str">
        <f t="shared" si="2"/>
        <v>0</v>
      </c>
      <c r="BA33" s="38" t="str">
        <f t="shared" si="3"/>
        <v>0</v>
      </c>
      <c r="BB33" s="38" t="str">
        <f t="shared" si="4"/>
        <v>0</v>
      </c>
      <c r="BC33" s="38">
        <f t="shared" si="5"/>
        <v>0</v>
      </c>
      <c r="BD33" s="38">
        <f t="shared" si="6"/>
        <v>0</v>
      </c>
      <c r="BL33" s="38" t="str">
        <f t="shared" si="7"/>
        <v/>
      </c>
      <c r="BM33" s="38" t="str">
        <f t="shared" si="8"/>
        <v/>
      </c>
      <c r="BN33" s="38" t="str">
        <f t="shared" si="9"/>
        <v/>
      </c>
      <c r="BO33" s="38" t="str">
        <f t="shared" si="10"/>
        <v/>
      </c>
      <c r="BP33" s="38" t="str">
        <f t="shared" si="11"/>
        <v/>
      </c>
      <c r="BQ33" s="38" t="str">
        <f t="shared" si="12"/>
        <v/>
      </c>
    </row>
    <row r="34" spans="1:69" ht="15.6" x14ac:dyDescent="0.3">
      <c r="A34" s="124" t="s">
        <v>265</v>
      </c>
      <c r="B34" s="397">
        <f>IF(ISBLANK(HLOOKUP($F$25,spelerslijsten!$B$1:$J$22,12,FALSE)),"",HLOOKUP($F$25,spelerslijsten!$B$1:$J$22,12,FALSE))</f>
        <v>7</v>
      </c>
      <c r="C34" s="398"/>
      <c r="D34" s="121"/>
      <c r="E34" s="122" t="str">
        <f>IF(ISBLANK(HLOOKUP($F$25,spelerslijsten!$B$1:$J$22,11,FALSE)),"",HLOOKUP($F$25,spelerslijsten!$B$1:$J$22,11,FALSE))</f>
        <v>Wout Reininga</v>
      </c>
      <c r="F34" s="12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08">
        <f t="shared" si="23"/>
        <v>2</v>
      </c>
      <c r="W34" s="109" t="str">
        <f t="shared" si="24"/>
        <v/>
      </c>
      <c r="X34" s="110" t="str">
        <f t="shared" si="25"/>
        <v/>
      </c>
      <c r="Y34" s="103" t="str">
        <f t="shared" si="26"/>
        <v/>
      </c>
      <c r="Z34" s="111"/>
      <c r="AA34" s="112"/>
      <c r="AB34" s="113" t="str">
        <f t="shared" si="16"/>
        <v>-</v>
      </c>
      <c r="AC34" s="112"/>
      <c r="AD34" s="114"/>
      <c r="AE34" s="115"/>
      <c r="AF34" s="115"/>
      <c r="AG34" s="116"/>
      <c r="AH34" s="117"/>
      <c r="AI34" s="117"/>
      <c r="AJ34" s="342"/>
      <c r="AK34" s="343"/>
      <c r="AL34" s="346"/>
      <c r="AM34" s="347"/>
      <c r="AN34" s="118"/>
      <c r="AO34" s="101" t="str">
        <f t="shared" si="19"/>
        <v/>
      </c>
      <c r="AP34" s="113" t="str">
        <f t="shared" si="20"/>
        <v>-</v>
      </c>
      <c r="AQ34" s="119"/>
      <c r="AR34" s="103" t="str">
        <f t="shared" si="21"/>
        <v/>
      </c>
      <c r="AT34" s="38" t="str">
        <f t="shared" si="27"/>
        <v>B7</v>
      </c>
      <c r="AU34" s="38">
        <f t="shared" si="18"/>
        <v>0</v>
      </c>
      <c r="AY34" s="38" t="str">
        <f t="shared" si="1"/>
        <v/>
      </c>
      <c r="AZ34" s="38" t="str">
        <f t="shared" si="2"/>
        <v>0</v>
      </c>
      <c r="BA34" s="38" t="str">
        <f t="shared" si="3"/>
        <v>0</v>
      </c>
      <c r="BB34" s="38" t="str">
        <f t="shared" si="4"/>
        <v>0</v>
      </c>
      <c r="BC34" s="38">
        <f t="shared" si="5"/>
        <v>0</v>
      </c>
      <c r="BD34" s="38">
        <f t="shared" si="6"/>
        <v>0</v>
      </c>
      <c r="BL34" s="38" t="str">
        <f t="shared" si="7"/>
        <v/>
      </c>
      <c r="BM34" s="38" t="str">
        <f t="shared" si="8"/>
        <v/>
      </c>
      <c r="BN34" s="38" t="str">
        <f t="shared" si="9"/>
        <v/>
      </c>
      <c r="BO34" s="38" t="str">
        <f t="shared" si="10"/>
        <v/>
      </c>
      <c r="BP34" s="38" t="str">
        <f t="shared" si="11"/>
        <v/>
      </c>
      <c r="BQ34" s="38" t="str">
        <f t="shared" si="12"/>
        <v/>
      </c>
    </row>
    <row r="35" spans="1:69" ht="15.6" x14ac:dyDescent="0.3">
      <c r="A35" s="124" t="s">
        <v>265</v>
      </c>
      <c r="B35" s="397">
        <f>IF(ISBLANK(HLOOKUP($F$25,spelerslijsten!$B$1:$J$22,14,FALSE)),"",HLOOKUP($F$25,spelerslijsten!$B$1:$J$22,14,FALSE))</f>
        <v>8</v>
      </c>
      <c r="C35" s="398"/>
      <c r="D35" s="121"/>
      <c r="E35" s="122" t="str">
        <f>IF(ISBLANK(HLOOKUP($F$25,spelerslijsten!$B$1:$J$22,13,FALSE)),"",HLOOKUP($F$25,spelerslijsten!$B$1:$J$22,13,FALSE))</f>
        <v>Romy Hoed-Venterink</v>
      </c>
      <c r="F35" s="12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08">
        <f t="shared" si="23"/>
        <v>5</v>
      </c>
      <c r="W35" s="109" t="str">
        <f t="shared" si="24"/>
        <v/>
      </c>
      <c r="X35" s="110" t="str">
        <f t="shared" si="25"/>
        <v/>
      </c>
      <c r="Y35" s="103" t="str">
        <f t="shared" si="26"/>
        <v/>
      </c>
      <c r="Z35" s="111"/>
      <c r="AA35" s="112"/>
      <c r="AB35" s="113" t="str">
        <f t="shared" si="16"/>
        <v>-</v>
      </c>
      <c r="AC35" s="112"/>
      <c r="AD35" s="114"/>
      <c r="AE35" s="115"/>
      <c r="AF35" s="115"/>
      <c r="AG35" s="116"/>
      <c r="AH35" s="117"/>
      <c r="AI35" s="117"/>
      <c r="AJ35" s="342"/>
      <c r="AK35" s="343"/>
      <c r="AL35" s="346"/>
      <c r="AM35" s="347"/>
      <c r="AN35" s="118"/>
      <c r="AO35" s="101" t="str">
        <f t="shared" si="19"/>
        <v/>
      </c>
      <c r="AP35" s="113" t="str">
        <f t="shared" si="20"/>
        <v>-</v>
      </c>
      <c r="AQ35" s="119"/>
      <c r="AR35" s="103" t="str">
        <f t="shared" si="21"/>
        <v/>
      </c>
      <c r="AT35" s="38" t="str">
        <f t="shared" si="27"/>
        <v>B8</v>
      </c>
      <c r="AU35" s="38">
        <f t="shared" si="18"/>
        <v>0</v>
      </c>
      <c r="AY35" s="38" t="str">
        <f t="shared" si="1"/>
        <v/>
      </c>
      <c r="AZ35" s="38" t="str">
        <f t="shared" si="2"/>
        <v>0</v>
      </c>
      <c r="BA35" s="38" t="str">
        <f t="shared" si="3"/>
        <v>0</v>
      </c>
      <c r="BB35" s="38" t="str">
        <f t="shared" si="4"/>
        <v>0</v>
      </c>
      <c r="BC35" s="38">
        <f t="shared" si="5"/>
        <v>0</v>
      </c>
      <c r="BD35" s="38">
        <f t="shared" si="6"/>
        <v>0</v>
      </c>
      <c r="BL35" s="38" t="str">
        <f t="shared" si="7"/>
        <v/>
      </c>
      <c r="BM35" s="38" t="str">
        <f t="shared" si="8"/>
        <v/>
      </c>
      <c r="BN35" s="38" t="str">
        <f t="shared" si="9"/>
        <v/>
      </c>
      <c r="BO35" s="38" t="str">
        <f t="shared" si="10"/>
        <v/>
      </c>
      <c r="BP35" s="38" t="str">
        <f t="shared" si="11"/>
        <v/>
      </c>
      <c r="BQ35" s="38" t="str">
        <f t="shared" si="12"/>
        <v/>
      </c>
    </row>
    <row r="36" spans="1:69" ht="15.6" x14ac:dyDescent="0.3">
      <c r="A36" s="124"/>
      <c r="B36" s="397">
        <f>IF(ISBLANK(HLOOKUP($F$25,spelerslijsten!$B$1:$J$22,16,FALSE)),"",HLOOKUP($F$25,spelerslijsten!$B$1:$J$22,16,FALSE))</f>
        <v>9</v>
      </c>
      <c r="C36" s="398"/>
      <c r="D36" s="121"/>
      <c r="E36" s="122" t="str">
        <f>IF(ISBLANK(HLOOKUP($F$25,spelerslijsten!$B$1:$J$22,15,FALSE)),"",HLOOKUP($F$25,spelerslijsten!$B$1:$J$22,15,FALSE))</f>
        <v>Marieke van Namen</v>
      </c>
      <c r="F36" s="12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08">
        <f t="shared" si="23"/>
        <v>0</v>
      </c>
      <c r="W36" s="109" t="str">
        <f t="shared" si="24"/>
        <v/>
      </c>
      <c r="X36" s="110" t="str">
        <f t="shared" si="25"/>
        <v/>
      </c>
      <c r="Y36" s="103" t="str">
        <f t="shared" si="26"/>
        <v/>
      </c>
      <c r="Z36" s="111"/>
      <c r="AA36" s="112"/>
      <c r="AB36" s="113" t="str">
        <f t="shared" si="16"/>
        <v>-</v>
      </c>
      <c r="AC36" s="112"/>
      <c r="AD36" s="114"/>
      <c r="AE36" s="115"/>
      <c r="AF36" s="115"/>
      <c r="AG36" s="116"/>
      <c r="AH36" s="117"/>
      <c r="AI36" s="117"/>
      <c r="AJ36" s="342"/>
      <c r="AK36" s="343"/>
      <c r="AL36" s="346"/>
      <c r="AM36" s="347"/>
      <c r="AN36" s="118"/>
      <c r="AO36" s="101" t="str">
        <f t="shared" si="19"/>
        <v/>
      </c>
      <c r="AP36" s="113" t="str">
        <f t="shared" si="20"/>
        <v>-</v>
      </c>
      <c r="AQ36" s="119"/>
      <c r="AR36" s="103" t="str">
        <f t="shared" si="21"/>
        <v/>
      </c>
      <c r="AT36" s="38" t="str">
        <f t="shared" si="27"/>
        <v>B9</v>
      </c>
      <c r="AU36" s="38">
        <f t="shared" si="18"/>
        <v>0</v>
      </c>
      <c r="AY36" s="38" t="str">
        <f t="shared" si="1"/>
        <v/>
      </c>
      <c r="AZ36" s="38" t="str">
        <f t="shared" si="2"/>
        <v>0</v>
      </c>
      <c r="BA36" s="38" t="str">
        <f t="shared" si="3"/>
        <v>0</v>
      </c>
      <c r="BB36" s="38" t="str">
        <f t="shared" si="4"/>
        <v>0</v>
      </c>
      <c r="BC36" s="38">
        <f t="shared" si="5"/>
        <v>0</v>
      </c>
      <c r="BD36" s="38">
        <f t="shared" si="6"/>
        <v>0</v>
      </c>
      <c r="BL36" s="38" t="str">
        <f t="shared" si="7"/>
        <v/>
      </c>
      <c r="BM36" s="38" t="str">
        <f t="shared" si="8"/>
        <v/>
      </c>
      <c r="BN36" s="38" t="str">
        <f t="shared" si="9"/>
        <v/>
      </c>
      <c r="BO36" s="38" t="str">
        <f t="shared" si="10"/>
        <v/>
      </c>
      <c r="BP36" s="38" t="str">
        <f t="shared" si="11"/>
        <v/>
      </c>
      <c r="BQ36" s="38" t="str">
        <f t="shared" si="12"/>
        <v/>
      </c>
    </row>
    <row r="37" spans="1:69" ht="15.6" x14ac:dyDescent="0.3">
      <c r="A37" s="124" t="s">
        <v>265</v>
      </c>
      <c r="B37" s="397">
        <f>IF(ISBLANK(HLOOKUP($F$25,spelerslijsten!$B$1:$J$22,18,FALSE)),"",HLOOKUP($F$25,spelerslijsten!$B$1:$J$22,18,FALSE))</f>
        <v>10</v>
      </c>
      <c r="C37" s="398"/>
      <c r="D37" s="121"/>
      <c r="E37" s="122" t="str">
        <f>IF(ISBLANK(HLOOKUP($F$25,spelerslijsten!$B$1:$J$22,17,FALSE)),"",HLOOKUP($F$25,spelerslijsten!$B$1:$J$22,17,FALSE))</f>
        <v>Manon Dekkers</v>
      </c>
      <c r="F37" s="12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08">
        <f t="shared" si="23"/>
        <v>1</v>
      </c>
      <c r="W37" s="109" t="str">
        <f t="shared" si="24"/>
        <v/>
      </c>
      <c r="X37" s="110" t="str">
        <f t="shared" si="25"/>
        <v/>
      </c>
      <c r="Y37" s="103" t="str">
        <f t="shared" si="26"/>
        <v/>
      </c>
      <c r="Z37" s="111"/>
      <c r="AA37" s="112"/>
      <c r="AB37" s="113" t="str">
        <f t="shared" si="16"/>
        <v>-</v>
      </c>
      <c r="AC37" s="112"/>
      <c r="AD37" s="114"/>
      <c r="AE37" s="115"/>
      <c r="AF37" s="115"/>
      <c r="AG37" s="116"/>
      <c r="AH37" s="117"/>
      <c r="AI37" s="117"/>
      <c r="AJ37" s="342"/>
      <c r="AK37" s="343"/>
      <c r="AL37" s="346"/>
      <c r="AM37" s="347"/>
      <c r="AN37" s="118"/>
      <c r="AO37" s="101" t="str">
        <f t="shared" si="19"/>
        <v/>
      </c>
      <c r="AP37" s="113" t="str">
        <f t="shared" si="20"/>
        <v>-</v>
      </c>
      <c r="AQ37" s="119"/>
      <c r="AR37" s="103" t="str">
        <f t="shared" si="21"/>
        <v/>
      </c>
      <c r="AT37" s="38" t="str">
        <f t="shared" si="27"/>
        <v>B10</v>
      </c>
      <c r="AU37" s="38">
        <f t="shared" si="18"/>
        <v>0</v>
      </c>
      <c r="AY37" s="38" t="str">
        <f t="shared" si="1"/>
        <v/>
      </c>
      <c r="AZ37" s="38" t="str">
        <f t="shared" si="2"/>
        <v>0</v>
      </c>
      <c r="BA37" s="38" t="str">
        <f t="shared" si="3"/>
        <v>0</v>
      </c>
      <c r="BB37" s="38" t="str">
        <f t="shared" si="4"/>
        <v>0</v>
      </c>
      <c r="BC37" s="38">
        <f t="shared" si="5"/>
        <v>0</v>
      </c>
      <c r="BD37" s="38">
        <f t="shared" si="6"/>
        <v>0</v>
      </c>
      <c r="BL37" s="38" t="str">
        <f t="shared" si="7"/>
        <v/>
      </c>
      <c r="BM37" s="38" t="str">
        <f t="shared" si="8"/>
        <v/>
      </c>
      <c r="BN37" s="38" t="str">
        <f t="shared" si="9"/>
        <v/>
      </c>
      <c r="BO37" s="38" t="str">
        <f t="shared" si="10"/>
        <v/>
      </c>
      <c r="BP37" s="38" t="str">
        <f t="shared" si="11"/>
        <v/>
      </c>
      <c r="BQ37" s="38" t="str">
        <f t="shared" si="12"/>
        <v/>
      </c>
    </row>
    <row r="38" spans="1:69" ht="15.6" x14ac:dyDescent="0.3">
      <c r="A38" s="124" t="s">
        <v>265</v>
      </c>
      <c r="B38" s="397">
        <f>IF(ISBLANK(HLOOKUP($F$25,spelerslijsten!$B$1:$J$22,20,FALSE)),"",HLOOKUP($F$25,spelerslijsten!$B$1:$J$22,20,FALSE))</f>
        <v>11</v>
      </c>
      <c r="C38" s="398"/>
      <c r="D38" s="121"/>
      <c r="E38" s="122" t="str">
        <f>IF(ISBLANK(HLOOKUP($F$25,spelerslijsten!$B$1:$J$22,19,FALSE)),"",HLOOKUP($F$25,spelerslijsten!$B$1:$J$22,19,FALSE))</f>
        <v>Celine van de Heuvel</v>
      </c>
      <c r="F38" s="12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08">
        <f t="shared" si="23"/>
        <v>0</v>
      </c>
      <c r="W38" s="109" t="str">
        <f t="shared" si="24"/>
        <v/>
      </c>
      <c r="X38" s="110" t="str">
        <f t="shared" si="25"/>
        <v/>
      </c>
      <c r="Y38" s="103" t="str">
        <f t="shared" si="26"/>
        <v/>
      </c>
      <c r="Z38" s="111"/>
      <c r="AA38" s="112"/>
      <c r="AB38" s="113" t="str">
        <f t="shared" si="16"/>
        <v>-</v>
      </c>
      <c r="AC38" s="112"/>
      <c r="AD38" s="114"/>
      <c r="AE38" s="115"/>
      <c r="AF38" s="115"/>
      <c r="AG38" s="116"/>
      <c r="AH38" s="117"/>
      <c r="AI38" s="117"/>
      <c r="AJ38" s="342"/>
      <c r="AK38" s="343"/>
      <c r="AL38" s="346"/>
      <c r="AM38" s="347"/>
      <c r="AN38" s="118"/>
      <c r="AO38" s="101" t="str">
        <f t="shared" si="19"/>
        <v/>
      </c>
      <c r="AP38" s="113" t="str">
        <f t="shared" si="20"/>
        <v>-</v>
      </c>
      <c r="AQ38" s="119"/>
      <c r="AR38" s="103" t="str">
        <f t="shared" si="21"/>
        <v/>
      </c>
      <c r="AT38" s="38" t="str">
        <f t="shared" si="27"/>
        <v>B11</v>
      </c>
      <c r="AU38" s="38">
        <f t="shared" si="18"/>
        <v>0</v>
      </c>
      <c r="AY38" s="38" t="str">
        <f t="shared" si="1"/>
        <v/>
      </c>
      <c r="AZ38" s="38" t="str">
        <f t="shared" si="2"/>
        <v>0</v>
      </c>
      <c r="BA38" s="38" t="str">
        <f t="shared" si="3"/>
        <v>0</v>
      </c>
      <c r="BB38" s="38" t="str">
        <f t="shared" si="4"/>
        <v>0</v>
      </c>
      <c r="BC38" s="38">
        <f t="shared" si="5"/>
        <v>0</v>
      </c>
      <c r="BD38" s="38">
        <f t="shared" si="6"/>
        <v>0</v>
      </c>
      <c r="BL38" s="38" t="str">
        <f t="shared" si="7"/>
        <v/>
      </c>
      <c r="BM38" s="38" t="str">
        <f t="shared" si="8"/>
        <v/>
      </c>
      <c r="BN38" s="38" t="str">
        <f t="shared" si="9"/>
        <v/>
      </c>
      <c r="BO38" s="38" t="str">
        <f t="shared" si="10"/>
        <v/>
      </c>
      <c r="BP38" s="38" t="str">
        <f t="shared" si="11"/>
        <v/>
      </c>
      <c r="BQ38" s="38" t="str">
        <f t="shared" si="12"/>
        <v/>
      </c>
    </row>
    <row r="39" spans="1:69" ht="15.6" x14ac:dyDescent="0.3">
      <c r="A39" s="125"/>
      <c r="B39" s="397" t="str">
        <f>IF(ISBLANK(HLOOKUP($F$25,spelerslijsten!$B$1:$J$22,22,FALSE)),"",HLOOKUP($F$25,spelerslijsten!$B$1:$J$22,22,FALSE))</f>
        <v/>
      </c>
      <c r="C39" s="398"/>
      <c r="D39" s="126"/>
      <c r="E39" s="259" t="str">
        <f>IF(ISBLANK(HLOOKUP($F$25,spelerslijsten!$B$1:$J$22,21,FALSE)),"",HLOOKUP($F$25,spelerslijsten!$B$1:$J$22,21,FALSE))</f>
        <v/>
      </c>
      <c r="F39" s="126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08">
        <f t="shared" si="23"/>
        <v>0</v>
      </c>
      <c r="W39" s="109" t="str">
        <f t="shared" si="24"/>
        <v/>
      </c>
      <c r="X39" s="110" t="str">
        <f t="shared" si="25"/>
        <v/>
      </c>
      <c r="Y39" s="103" t="str">
        <f t="shared" si="26"/>
        <v/>
      </c>
      <c r="Z39" s="111"/>
      <c r="AA39" s="112"/>
      <c r="AB39" s="113" t="str">
        <f t="shared" si="16"/>
        <v>-</v>
      </c>
      <c r="AC39" s="112"/>
      <c r="AD39" s="114"/>
      <c r="AE39" s="115"/>
      <c r="AF39" s="115"/>
      <c r="AG39" s="116"/>
      <c r="AH39" s="117"/>
      <c r="AI39" s="117"/>
      <c r="AJ39" s="342"/>
      <c r="AK39" s="343"/>
      <c r="AL39" s="346"/>
      <c r="AM39" s="347"/>
      <c r="AN39" s="118"/>
      <c r="AO39" s="101" t="str">
        <f t="shared" si="19"/>
        <v/>
      </c>
      <c r="AP39" s="113" t="str">
        <f t="shared" si="20"/>
        <v>-</v>
      </c>
      <c r="AQ39" s="119"/>
      <c r="AR39" s="103" t="str">
        <f t="shared" si="21"/>
        <v/>
      </c>
      <c r="AT39" s="38" t="str">
        <f t="shared" si="27"/>
        <v>B</v>
      </c>
      <c r="AU39" s="38">
        <f t="shared" si="18"/>
        <v>0</v>
      </c>
      <c r="AY39" s="38" t="str">
        <f t="shared" si="1"/>
        <v/>
      </c>
      <c r="AZ39" s="38" t="str">
        <f t="shared" si="2"/>
        <v>0</v>
      </c>
      <c r="BA39" s="38" t="str">
        <f t="shared" si="3"/>
        <v>0</v>
      </c>
      <c r="BB39" s="38" t="str">
        <f t="shared" si="4"/>
        <v>0</v>
      </c>
      <c r="BC39" s="38">
        <f t="shared" si="5"/>
        <v>0</v>
      </c>
      <c r="BD39" s="38">
        <f t="shared" si="6"/>
        <v>0</v>
      </c>
      <c r="BL39" s="38" t="str">
        <f t="shared" si="7"/>
        <v/>
      </c>
      <c r="BM39" s="38" t="str">
        <f t="shared" si="8"/>
        <v/>
      </c>
      <c r="BN39" s="38" t="str">
        <f t="shared" si="9"/>
        <v/>
      </c>
      <c r="BO39" s="38" t="str">
        <f t="shared" si="10"/>
        <v/>
      </c>
      <c r="BP39" s="38" t="str">
        <f t="shared" si="11"/>
        <v/>
      </c>
      <c r="BQ39" s="38" t="str">
        <f t="shared" si="12"/>
        <v/>
      </c>
    </row>
    <row r="40" spans="1:69" ht="16.2" thickBot="1" x14ac:dyDescent="0.35">
      <c r="A40" s="71" t="s">
        <v>67</v>
      </c>
      <c r="B40" s="72"/>
      <c r="C40" s="72"/>
      <c r="D40" s="72"/>
      <c r="E40" s="72"/>
      <c r="F40" s="72"/>
      <c r="G40" s="72"/>
      <c r="H40" s="72"/>
      <c r="I40" s="399">
        <f>HLOOKUP(F25,spelerslijsten!B1:J25,25,FALSE)</f>
        <v>2</v>
      </c>
      <c r="J40" s="400"/>
      <c r="K40" s="74" t="s">
        <v>23</v>
      </c>
      <c r="L40" s="72"/>
      <c r="M40" s="72"/>
      <c r="N40" s="129" t="str">
        <f>HLOOKUP(F25,spelerslijsten!B1:J25,23,FALSE)</f>
        <v>Niels Venterink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30"/>
      <c r="Z40" s="111"/>
      <c r="AA40" s="112"/>
      <c r="AB40" s="113" t="str">
        <f t="shared" si="16"/>
        <v>-</v>
      </c>
      <c r="AC40" s="112"/>
      <c r="AD40" s="114"/>
      <c r="AE40" s="115"/>
      <c r="AF40" s="115"/>
      <c r="AG40" s="116"/>
      <c r="AH40" s="117"/>
      <c r="AI40" s="117"/>
      <c r="AJ40" s="342"/>
      <c r="AK40" s="343"/>
      <c r="AL40" s="346"/>
      <c r="AM40" s="347"/>
      <c r="AN40" s="118"/>
      <c r="AO40" s="101" t="str">
        <f t="shared" si="19"/>
        <v/>
      </c>
      <c r="AP40" s="113" t="str">
        <f t="shared" si="20"/>
        <v>-</v>
      </c>
      <c r="AQ40" s="119"/>
      <c r="AR40" s="103" t="str">
        <f t="shared" si="21"/>
        <v/>
      </c>
      <c r="AY40" s="38" t="str">
        <f t="shared" si="1"/>
        <v/>
      </c>
      <c r="AZ40" s="38" t="str">
        <f t="shared" si="2"/>
        <v>0</v>
      </c>
      <c r="BA40" s="38" t="str">
        <f t="shared" si="3"/>
        <v>0</v>
      </c>
      <c r="BB40" s="38" t="str">
        <f t="shared" si="4"/>
        <v>0</v>
      </c>
      <c r="BC40" s="38">
        <f t="shared" si="5"/>
        <v>0</v>
      </c>
      <c r="BD40" s="38">
        <f t="shared" si="6"/>
        <v>0</v>
      </c>
      <c r="BL40" s="38" t="str">
        <f t="shared" si="7"/>
        <v/>
      </c>
      <c r="BM40" s="38" t="str">
        <f t="shared" si="8"/>
        <v/>
      </c>
      <c r="BN40" s="38" t="str">
        <f t="shared" si="9"/>
        <v/>
      </c>
      <c r="BO40" s="38" t="str">
        <f t="shared" si="10"/>
        <v/>
      </c>
      <c r="BP40" s="38" t="str">
        <f t="shared" si="11"/>
        <v/>
      </c>
      <c r="BQ40" s="38" t="str">
        <f t="shared" si="12"/>
        <v/>
      </c>
    </row>
    <row r="41" spans="1:69" ht="15.6" x14ac:dyDescent="0.3">
      <c r="A41" s="157" t="s">
        <v>68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158"/>
      <c r="Z41" s="111"/>
      <c r="AA41" s="112"/>
      <c r="AB41" s="113" t="str">
        <f t="shared" si="16"/>
        <v>-</v>
      </c>
      <c r="AC41" s="112"/>
      <c r="AD41" s="114"/>
      <c r="AE41" s="115"/>
      <c r="AF41" s="115"/>
      <c r="AG41" s="116"/>
      <c r="AH41" s="117"/>
      <c r="AI41" s="117"/>
      <c r="AJ41" s="342"/>
      <c r="AK41" s="343"/>
      <c r="AL41" s="346"/>
      <c r="AM41" s="347"/>
      <c r="AN41" s="118"/>
      <c r="AO41" s="101" t="str">
        <f t="shared" si="19"/>
        <v/>
      </c>
      <c r="AP41" s="113" t="str">
        <f t="shared" si="20"/>
        <v>-</v>
      </c>
      <c r="AQ41" s="119"/>
      <c r="AR41" s="103" t="str">
        <f t="shared" si="21"/>
        <v/>
      </c>
      <c r="AY41" s="38" t="str">
        <f t="shared" si="1"/>
        <v/>
      </c>
      <c r="AZ41" s="38" t="str">
        <f t="shared" si="2"/>
        <v>0</v>
      </c>
      <c r="BA41" s="38" t="str">
        <f t="shared" si="3"/>
        <v>0</v>
      </c>
      <c r="BB41" s="38" t="str">
        <f t="shared" si="4"/>
        <v>0</v>
      </c>
      <c r="BC41" s="38">
        <f t="shared" si="5"/>
        <v>0</v>
      </c>
      <c r="BD41" s="38">
        <f t="shared" si="6"/>
        <v>0</v>
      </c>
      <c r="BL41" s="38" t="str">
        <f t="shared" si="7"/>
        <v/>
      </c>
      <c r="BM41" s="38" t="str">
        <f t="shared" si="8"/>
        <v/>
      </c>
      <c r="BN41" s="38" t="str">
        <f t="shared" si="9"/>
        <v/>
      </c>
      <c r="BO41" s="38" t="str">
        <f t="shared" si="10"/>
        <v/>
      </c>
      <c r="BP41" s="38" t="str">
        <f t="shared" si="11"/>
        <v/>
      </c>
      <c r="BQ41" s="38" t="str">
        <f t="shared" si="12"/>
        <v/>
      </c>
    </row>
    <row r="42" spans="1:69" ht="15.6" x14ac:dyDescent="0.3">
      <c r="A42" s="15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60"/>
      <c r="Z42" s="111"/>
      <c r="AA42" s="112"/>
      <c r="AB42" s="113" t="str">
        <f t="shared" si="16"/>
        <v>-</v>
      </c>
      <c r="AC42" s="112"/>
      <c r="AD42" s="114"/>
      <c r="AE42" s="115"/>
      <c r="AF42" s="115"/>
      <c r="AG42" s="116"/>
      <c r="AH42" s="117"/>
      <c r="AI42" s="117"/>
      <c r="AJ42" s="342"/>
      <c r="AK42" s="343"/>
      <c r="AL42" s="346"/>
      <c r="AM42" s="347"/>
      <c r="AN42" s="118"/>
      <c r="AO42" s="101" t="str">
        <f t="shared" si="19"/>
        <v/>
      </c>
      <c r="AP42" s="113" t="str">
        <f t="shared" si="20"/>
        <v>-</v>
      </c>
      <c r="AQ42" s="119"/>
      <c r="AR42" s="103" t="str">
        <f t="shared" si="21"/>
        <v/>
      </c>
      <c r="AY42" s="38" t="str">
        <f t="shared" si="1"/>
        <v/>
      </c>
      <c r="AZ42" s="38" t="str">
        <f t="shared" si="2"/>
        <v>0</v>
      </c>
      <c r="BA42" s="38" t="str">
        <f t="shared" si="3"/>
        <v>0</v>
      </c>
      <c r="BB42" s="38" t="str">
        <f t="shared" si="4"/>
        <v>0</v>
      </c>
      <c r="BC42" s="38">
        <f t="shared" si="5"/>
        <v>0</v>
      </c>
      <c r="BD42" s="38">
        <f t="shared" si="6"/>
        <v>0</v>
      </c>
      <c r="BL42" s="38" t="str">
        <f t="shared" si="7"/>
        <v/>
      </c>
      <c r="BM42" s="38" t="str">
        <f t="shared" si="8"/>
        <v/>
      </c>
      <c r="BN42" s="38" t="str">
        <f t="shared" si="9"/>
        <v/>
      </c>
      <c r="BO42" s="38" t="str">
        <f t="shared" si="10"/>
        <v/>
      </c>
      <c r="BP42" s="38" t="str">
        <f t="shared" si="11"/>
        <v/>
      </c>
      <c r="BQ42" s="38" t="str">
        <f t="shared" si="12"/>
        <v/>
      </c>
    </row>
    <row r="43" spans="1:69" ht="15.6" x14ac:dyDescent="0.3">
      <c r="A43" s="16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62"/>
      <c r="Z43" s="111"/>
      <c r="AA43" s="112"/>
      <c r="AB43" s="113" t="str">
        <f t="shared" si="16"/>
        <v>-</v>
      </c>
      <c r="AC43" s="112"/>
      <c r="AD43" s="114"/>
      <c r="AE43" s="115"/>
      <c r="AF43" s="115"/>
      <c r="AG43" s="116"/>
      <c r="AH43" s="117"/>
      <c r="AI43" s="117"/>
      <c r="AJ43" s="342"/>
      <c r="AK43" s="343"/>
      <c r="AL43" s="346"/>
      <c r="AM43" s="347"/>
      <c r="AN43" s="118"/>
      <c r="AO43" s="101" t="str">
        <f t="shared" si="19"/>
        <v/>
      </c>
      <c r="AP43" s="113" t="str">
        <f t="shared" si="20"/>
        <v>-</v>
      </c>
      <c r="AQ43" s="119"/>
      <c r="AR43" s="103" t="str">
        <f t="shared" si="21"/>
        <v/>
      </c>
      <c r="AY43" s="38" t="str">
        <f t="shared" si="1"/>
        <v/>
      </c>
      <c r="AZ43" s="38" t="str">
        <f t="shared" si="2"/>
        <v>0</v>
      </c>
      <c r="BA43" s="38" t="str">
        <f t="shared" si="3"/>
        <v>0</v>
      </c>
      <c r="BB43" s="38" t="str">
        <f t="shared" si="4"/>
        <v>0</v>
      </c>
      <c r="BC43" s="38">
        <f t="shared" si="5"/>
        <v>0</v>
      </c>
      <c r="BD43" s="38">
        <f t="shared" si="6"/>
        <v>0</v>
      </c>
      <c r="BL43" s="38" t="str">
        <f t="shared" si="7"/>
        <v/>
      </c>
      <c r="BM43" s="38" t="str">
        <f t="shared" si="8"/>
        <v/>
      </c>
      <c r="BN43" s="38" t="str">
        <f t="shared" si="9"/>
        <v/>
      </c>
      <c r="BO43" s="38" t="str">
        <f t="shared" si="10"/>
        <v/>
      </c>
      <c r="BP43" s="38" t="str">
        <f t="shared" si="11"/>
        <v/>
      </c>
      <c r="BQ43" s="38" t="str">
        <f t="shared" si="12"/>
        <v/>
      </c>
    </row>
    <row r="44" spans="1:69" ht="15.6" x14ac:dyDescent="0.3">
      <c r="A44" s="16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62"/>
      <c r="Z44" s="111"/>
      <c r="AA44" s="112"/>
      <c r="AB44" s="113" t="str">
        <f t="shared" si="16"/>
        <v>-</v>
      </c>
      <c r="AC44" s="112"/>
      <c r="AD44" s="114"/>
      <c r="AE44" s="115"/>
      <c r="AF44" s="115"/>
      <c r="AG44" s="116"/>
      <c r="AH44" s="117"/>
      <c r="AI44" s="117"/>
      <c r="AJ44" s="342"/>
      <c r="AK44" s="343"/>
      <c r="AL44" s="346"/>
      <c r="AM44" s="347"/>
      <c r="AN44" s="118"/>
      <c r="AO44" s="101" t="str">
        <f t="shared" si="19"/>
        <v/>
      </c>
      <c r="AP44" s="113" t="str">
        <f t="shared" si="20"/>
        <v>-</v>
      </c>
      <c r="AQ44" s="119"/>
      <c r="AR44" s="103" t="str">
        <f t="shared" si="21"/>
        <v/>
      </c>
      <c r="AY44" s="38" t="str">
        <f t="shared" si="1"/>
        <v/>
      </c>
      <c r="AZ44" s="38" t="str">
        <f t="shared" si="2"/>
        <v>0</v>
      </c>
      <c r="BA44" s="38" t="str">
        <f t="shared" si="3"/>
        <v>0</v>
      </c>
      <c r="BB44" s="38" t="str">
        <f t="shared" si="4"/>
        <v>0</v>
      </c>
      <c r="BC44" s="38">
        <f t="shared" si="5"/>
        <v>0</v>
      </c>
      <c r="BD44" s="38">
        <f t="shared" si="6"/>
        <v>0</v>
      </c>
      <c r="BL44" s="38" t="str">
        <f t="shared" si="7"/>
        <v/>
      </c>
      <c r="BM44" s="38" t="str">
        <f t="shared" si="8"/>
        <v/>
      </c>
      <c r="BN44" s="38" t="str">
        <f t="shared" si="9"/>
        <v/>
      </c>
      <c r="BO44" s="38" t="str">
        <f t="shared" si="10"/>
        <v/>
      </c>
      <c r="BP44" s="38" t="str">
        <f t="shared" si="11"/>
        <v/>
      </c>
      <c r="BQ44" s="38" t="str">
        <f t="shared" si="12"/>
        <v/>
      </c>
    </row>
    <row r="45" spans="1:69" ht="15.6" x14ac:dyDescent="0.3">
      <c r="A45" s="16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62"/>
      <c r="Z45" s="111"/>
      <c r="AA45" s="112"/>
      <c r="AB45" s="113" t="str">
        <f>+AB44</f>
        <v>-</v>
      </c>
      <c r="AC45" s="112"/>
      <c r="AD45" s="114"/>
      <c r="AE45" s="115"/>
      <c r="AF45" s="115"/>
      <c r="AG45" s="116"/>
      <c r="AH45" s="117"/>
      <c r="AI45" s="117"/>
      <c r="AJ45" s="342"/>
      <c r="AK45" s="343"/>
      <c r="AL45" s="346"/>
      <c r="AM45" s="347"/>
      <c r="AN45" s="118"/>
      <c r="AO45" s="101" t="str">
        <f t="shared" si="19"/>
        <v/>
      </c>
      <c r="AP45" s="113" t="str">
        <f t="shared" si="20"/>
        <v>-</v>
      </c>
      <c r="AQ45" s="119"/>
      <c r="AR45" s="103" t="str">
        <f t="shared" si="21"/>
        <v/>
      </c>
      <c r="AY45" s="38" t="str">
        <f t="shared" si="1"/>
        <v/>
      </c>
      <c r="AZ45" s="38" t="str">
        <f t="shared" si="2"/>
        <v>0</v>
      </c>
      <c r="BA45" s="38" t="str">
        <f t="shared" si="3"/>
        <v>0</v>
      </c>
      <c r="BB45" s="38" t="str">
        <f t="shared" si="4"/>
        <v>0</v>
      </c>
      <c r="BC45" s="38">
        <f t="shared" si="5"/>
        <v>0</v>
      </c>
      <c r="BD45" s="38">
        <f t="shared" si="6"/>
        <v>0</v>
      </c>
      <c r="BL45" s="38" t="str">
        <f t="shared" si="7"/>
        <v/>
      </c>
      <c r="BM45" s="38" t="str">
        <f t="shared" si="8"/>
        <v/>
      </c>
      <c r="BN45" s="38" t="str">
        <f t="shared" si="9"/>
        <v/>
      </c>
      <c r="BO45" s="38" t="str">
        <f t="shared" si="10"/>
        <v/>
      </c>
      <c r="BP45" s="38" t="str">
        <f t="shared" si="11"/>
        <v/>
      </c>
      <c r="BQ45" s="38" t="str">
        <f t="shared" si="12"/>
        <v/>
      </c>
    </row>
    <row r="46" spans="1:69" ht="16.2" thickBot="1" x14ac:dyDescent="0.35">
      <c r="A46" s="163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64"/>
      <c r="Z46" s="165"/>
      <c r="AA46" s="166"/>
      <c r="AB46" s="167" t="str">
        <f>+AB45</f>
        <v>-</v>
      </c>
      <c r="AC46" s="166"/>
      <c r="AD46" s="168"/>
      <c r="AE46" s="169"/>
      <c r="AF46" s="169"/>
      <c r="AG46" s="170"/>
      <c r="AH46" s="171"/>
      <c r="AI46" s="171"/>
      <c r="AJ46" s="344"/>
      <c r="AK46" s="345"/>
      <c r="AL46" s="352"/>
      <c r="AM46" s="353"/>
      <c r="AN46" s="172"/>
      <c r="AO46" s="101" t="str">
        <f t="shared" si="19"/>
        <v/>
      </c>
      <c r="AP46" s="113" t="str">
        <f t="shared" si="20"/>
        <v>-</v>
      </c>
      <c r="AQ46" s="119"/>
      <c r="AR46" s="103" t="str">
        <f t="shared" si="21"/>
        <v/>
      </c>
      <c r="AY46" s="38" t="str">
        <f t="shared" si="1"/>
        <v/>
      </c>
      <c r="AZ46" s="38" t="str">
        <f t="shared" si="2"/>
        <v>0</v>
      </c>
      <c r="BA46" s="38" t="str">
        <f t="shared" si="3"/>
        <v>0</v>
      </c>
      <c r="BB46" s="38" t="str">
        <f t="shared" si="4"/>
        <v>0</v>
      </c>
      <c r="BC46" s="38">
        <f t="shared" si="5"/>
        <v>0</v>
      </c>
      <c r="BD46" s="38">
        <f t="shared" si="6"/>
        <v>0</v>
      </c>
      <c r="BL46" s="38" t="str">
        <f t="shared" si="7"/>
        <v/>
      </c>
      <c r="BM46" s="38" t="str">
        <f t="shared" si="8"/>
        <v/>
      </c>
      <c r="BN46" s="38" t="str">
        <f t="shared" si="9"/>
        <v/>
      </c>
      <c r="BO46" s="38" t="str">
        <f t="shared" si="10"/>
        <v/>
      </c>
      <c r="BP46" s="38" t="str">
        <f t="shared" si="11"/>
        <v/>
      </c>
      <c r="BQ46" s="38" t="str">
        <f t="shared" si="12"/>
        <v/>
      </c>
    </row>
    <row r="47" spans="1:69" ht="18.600000000000001" thickBot="1" x14ac:dyDescent="0.35">
      <c r="A47" s="173" t="s">
        <v>69</v>
      </c>
      <c r="B47" s="174"/>
      <c r="C47" s="174"/>
      <c r="D47" s="174"/>
      <c r="E47" s="174"/>
      <c r="F47" s="174"/>
      <c r="G47" s="174">
        <f>IF(AO52&gt;AR52,AO52,IF(AO52=AR52,AO52,AR52))</f>
        <v>8</v>
      </c>
      <c r="H47" s="175" t="s">
        <v>16</v>
      </c>
      <c r="I47" s="174">
        <f>IF(AO52&gt;AR52,AR52,IF(AO52=AR52,AR52,AO52))</f>
        <v>4</v>
      </c>
      <c r="J47" s="174"/>
      <c r="K47" s="174" t="s">
        <v>70</v>
      </c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6" t="str">
        <f>BE52</f>
        <v>BLAUW</v>
      </c>
      <c r="W47" s="174"/>
      <c r="X47" s="174"/>
      <c r="Y47" s="174"/>
      <c r="Z47" s="174"/>
      <c r="AA47" s="174"/>
      <c r="AB47" s="174"/>
      <c r="AC47" s="174"/>
      <c r="AD47" s="177"/>
      <c r="AE47" s="178" t="s">
        <v>71</v>
      </c>
      <c r="AF47" s="179"/>
      <c r="AG47" s="179"/>
      <c r="AH47" s="179"/>
      <c r="AI47" s="179"/>
      <c r="AJ47" s="174"/>
      <c r="AK47" s="174"/>
      <c r="AL47" s="403" t="s">
        <v>177</v>
      </c>
      <c r="AM47" s="404"/>
      <c r="AN47" s="404"/>
      <c r="AO47" s="404"/>
      <c r="AP47" s="404"/>
      <c r="AQ47" s="404"/>
      <c r="AR47" s="405"/>
    </row>
    <row r="48" spans="1:69" x14ac:dyDescent="0.3">
      <c r="A48" s="180" t="s">
        <v>72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2"/>
      <c r="P48" s="183" t="s">
        <v>72</v>
      </c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2"/>
      <c r="AC48" s="181"/>
      <c r="AD48" s="184"/>
      <c r="AE48" s="185" t="s">
        <v>72</v>
      </c>
      <c r="AF48" s="186"/>
      <c r="AG48" s="186"/>
      <c r="AH48" s="186"/>
      <c r="AI48" s="186"/>
      <c r="AJ48" s="181"/>
      <c r="AK48" s="181"/>
      <c r="AL48" s="181"/>
      <c r="AM48" s="181"/>
      <c r="AN48" s="181"/>
      <c r="AO48" s="186"/>
      <c r="AP48" s="181"/>
      <c r="AQ48" s="181"/>
      <c r="AR48" s="187"/>
    </row>
    <row r="49" spans="1:57" x14ac:dyDescent="0.3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/>
      <c r="P49" s="191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90"/>
      <c r="AC49" s="189"/>
      <c r="AD49" s="192"/>
      <c r="AE49" s="193"/>
      <c r="AF49" s="193"/>
      <c r="AG49" s="193"/>
      <c r="AH49" s="193"/>
      <c r="AI49" s="193"/>
      <c r="AJ49" s="189"/>
      <c r="AK49" s="189"/>
      <c r="AL49" s="189"/>
      <c r="AM49" s="189"/>
      <c r="AN49" s="189"/>
      <c r="AO49" s="193"/>
      <c r="AP49" s="189"/>
      <c r="AQ49" s="189"/>
      <c r="AR49" s="194"/>
    </row>
    <row r="50" spans="1:57" ht="14.4" thickBot="1" x14ac:dyDescent="0.3">
      <c r="A50" s="195" t="s">
        <v>73</v>
      </c>
      <c r="B50" s="196"/>
      <c r="C50" s="196"/>
      <c r="D50" s="196"/>
      <c r="E50" s="196"/>
      <c r="F50" s="196"/>
      <c r="G50" s="196"/>
      <c r="H50" s="197" t="s">
        <v>74</v>
      </c>
      <c r="I50" s="196"/>
      <c r="J50" s="196"/>
      <c r="K50" s="196"/>
      <c r="L50" s="196"/>
      <c r="M50" s="196"/>
      <c r="N50" s="196"/>
      <c r="O50" s="198"/>
      <c r="P50" s="199" t="s">
        <v>73</v>
      </c>
      <c r="Q50" s="196"/>
      <c r="R50" s="196"/>
      <c r="S50" s="196"/>
      <c r="T50" s="196"/>
      <c r="U50" s="196"/>
      <c r="V50" s="196"/>
      <c r="W50" s="197" t="s">
        <v>75</v>
      </c>
      <c r="X50" s="196"/>
      <c r="Y50" s="196"/>
      <c r="Z50" s="196"/>
      <c r="AA50" s="196"/>
      <c r="AB50" s="198"/>
      <c r="AC50" s="196"/>
      <c r="AD50" s="200"/>
      <c r="AE50" s="201" t="s">
        <v>25</v>
      </c>
      <c r="AF50" s="202"/>
      <c r="AG50" s="202"/>
      <c r="AH50" s="202"/>
      <c r="AI50" s="202"/>
      <c r="AJ50" s="203"/>
      <c r="AK50" s="203"/>
      <c r="AL50" s="203"/>
      <c r="AM50" s="203"/>
      <c r="AN50" s="203"/>
      <c r="AO50" s="202"/>
      <c r="AP50" s="203"/>
      <c r="AQ50" s="203"/>
      <c r="AR50" s="204"/>
    </row>
    <row r="52" spans="1:57" hidden="1" x14ac:dyDescent="0.3">
      <c r="AO52" s="40">
        <f>IF(AO13="","",MAX(AO13:AO46))</f>
        <v>4</v>
      </c>
      <c r="AR52" s="40">
        <f>IF(AR13="","",MAX(AR13:AR46))</f>
        <v>8</v>
      </c>
      <c r="AS52" s="38" t="str">
        <f>IF(AO13="","0","1")</f>
        <v>1</v>
      </c>
      <c r="BE52" s="38" t="str">
        <f>IF(AS52="0","WIT/BLAUW",IF(AO52&gt;AR52,"WIT",IF(AO52=AR52,"GELIJK","BLAUW")))</f>
        <v>BLAUW</v>
      </c>
    </row>
  </sheetData>
  <sheetProtection sheet="1" objects="1" scenarios="1"/>
  <mergeCells count="107">
    <mergeCell ref="AJ46:AK46"/>
    <mergeCell ref="AL46:AM46"/>
    <mergeCell ref="AL47:AR47"/>
    <mergeCell ref="AJ43:AK43"/>
    <mergeCell ref="AL43:AM43"/>
    <mergeCell ref="AJ44:AK44"/>
    <mergeCell ref="AL44:AM44"/>
    <mergeCell ref="AJ45:AK45"/>
    <mergeCell ref="AL45:AM45"/>
    <mergeCell ref="I40:J40"/>
    <mergeCell ref="AJ40:AK40"/>
    <mergeCell ref="AL40:AM40"/>
    <mergeCell ref="AJ41:AK41"/>
    <mergeCell ref="AL41:AM41"/>
    <mergeCell ref="AJ42:AK42"/>
    <mergeCell ref="AL42:AM42"/>
    <mergeCell ref="B38:C38"/>
    <mergeCell ref="AJ38:AK38"/>
    <mergeCell ref="AL38:AM38"/>
    <mergeCell ref="B39:C39"/>
    <mergeCell ref="AJ39:AK39"/>
    <mergeCell ref="AL39:AM39"/>
    <mergeCell ref="B36:C36"/>
    <mergeCell ref="AJ36:AK36"/>
    <mergeCell ref="AL36:AM36"/>
    <mergeCell ref="B37:C37"/>
    <mergeCell ref="AJ37:AK37"/>
    <mergeCell ref="AL37:AM37"/>
    <mergeCell ref="B34:C34"/>
    <mergeCell ref="AJ34:AK34"/>
    <mergeCell ref="AL34:AM34"/>
    <mergeCell ref="B35:C35"/>
    <mergeCell ref="AJ35:AK35"/>
    <mergeCell ref="AL35:AM35"/>
    <mergeCell ref="B32:C32"/>
    <mergeCell ref="AJ32:AK32"/>
    <mergeCell ref="AL32:AM32"/>
    <mergeCell ref="B33:C33"/>
    <mergeCell ref="AJ33:AK33"/>
    <mergeCell ref="AL33:AM33"/>
    <mergeCell ref="AJ29:AK29"/>
    <mergeCell ref="AL29:AM29"/>
    <mergeCell ref="B30:C30"/>
    <mergeCell ref="AJ30:AK30"/>
    <mergeCell ref="AL30:AM30"/>
    <mergeCell ref="B31:C31"/>
    <mergeCell ref="AJ31:AK31"/>
    <mergeCell ref="AL31:AM31"/>
    <mergeCell ref="A26:D28"/>
    <mergeCell ref="AJ26:AK26"/>
    <mergeCell ref="AL26:AM26"/>
    <mergeCell ref="AJ27:AK27"/>
    <mergeCell ref="AL27:AM27"/>
    <mergeCell ref="AJ28:AK28"/>
    <mergeCell ref="AL28:AM28"/>
    <mergeCell ref="I24:J24"/>
    <mergeCell ref="AJ24:AK24"/>
    <mergeCell ref="AL24:AM24"/>
    <mergeCell ref="F25:Y28"/>
    <mergeCell ref="AJ25:AK25"/>
    <mergeCell ref="AL25:AM25"/>
    <mergeCell ref="B22:C22"/>
    <mergeCell ref="AJ22:AK22"/>
    <mergeCell ref="AL22:AM22"/>
    <mergeCell ref="B23:C23"/>
    <mergeCell ref="AJ23:AK23"/>
    <mergeCell ref="AL23:AM23"/>
    <mergeCell ref="B20:C20"/>
    <mergeCell ref="AJ20:AK20"/>
    <mergeCell ref="AL20:AM20"/>
    <mergeCell ref="B21:C21"/>
    <mergeCell ref="AJ21:AK21"/>
    <mergeCell ref="AL21:AM21"/>
    <mergeCell ref="B18:C18"/>
    <mergeCell ref="AJ18:AK18"/>
    <mergeCell ref="AL18:AM18"/>
    <mergeCell ref="B19:C19"/>
    <mergeCell ref="AJ19:AK19"/>
    <mergeCell ref="AL19:AM19"/>
    <mergeCell ref="B16:C16"/>
    <mergeCell ref="AJ16:AK16"/>
    <mergeCell ref="AL16:AM16"/>
    <mergeCell ref="B17:C17"/>
    <mergeCell ref="AJ17:AK17"/>
    <mergeCell ref="AL17:AM17"/>
    <mergeCell ref="AJ13:AK13"/>
    <mergeCell ref="AL13:AM13"/>
    <mergeCell ref="B14:C14"/>
    <mergeCell ref="AJ14:AK14"/>
    <mergeCell ref="AL14:AM14"/>
    <mergeCell ref="B15:C15"/>
    <mergeCell ref="AJ15:AK15"/>
    <mergeCell ref="AL15:AM15"/>
    <mergeCell ref="F10:Y12"/>
    <mergeCell ref="Z10:AD12"/>
    <mergeCell ref="AJ10:AK12"/>
    <mergeCell ref="AL10:AM12"/>
    <mergeCell ref="AN10:AR11"/>
    <mergeCell ref="A11:D12"/>
    <mergeCell ref="AN12:AO12"/>
    <mergeCell ref="AQ12:AR12"/>
    <mergeCell ref="D3:N3"/>
    <mergeCell ref="D4:E4"/>
    <mergeCell ref="G4:I4"/>
    <mergeCell ref="K4:M4"/>
    <mergeCell ref="BF4:BI6"/>
    <mergeCell ref="AH6:AR6"/>
  </mergeCells>
  <dataValidations count="1">
    <dataValidation type="list" allowBlank="1" showInputMessage="1" showErrorMessage="1" sqref="AL47:AR47" xr:uid="{84F2173C-1233-41F8-8F04-5DB4817B218C}">
      <formula1>"JA/NEE,JA,NEE"</formula1>
    </dataValidation>
  </dataValidations>
  <hyperlinks>
    <hyperlink ref="BF4:BI6" location="Wedstrijden!A1" display="Wedstrijdschema" xr:uid="{F5FEAF6A-F2CB-42C9-BD48-7D67B9A3ABB7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1CABE-7418-4C25-9993-7D63580DC232}">
  <dimension ref="A1:IV52"/>
  <sheetViews>
    <sheetView workbookViewId="0">
      <selection activeCell="BF4" sqref="BF4:BI6"/>
    </sheetView>
  </sheetViews>
  <sheetFormatPr defaultRowHeight="13.8" x14ac:dyDescent="0.3"/>
  <cols>
    <col min="1" max="6" width="2.33203125" style="38" customWidth="1"/>
    <col min="7" max="7" width="3.33203125" style="38" customWidth="1"/>
    <col min="8" max="8" width="2.33203125" style="38" customWidth="1"/>
    <col min="9" max="9" width="3.33203125" style="38" customWidth="1"/>
    <col min="10" max="25" width="2.33203125" style="38" customWidth="1"/>
    <col min="26" max="28" width="2.109375" style="38" customWidth="1"/>
    <col min="29" max="29" width="3" style="38" customWidth="1"/>
    <col min="30" max="30" width="2.109375" style="39" customWidth="1"/>
    <col min="31" max="35" width="2.33203125" style="40" customWidth="1"/>
    <col min="36" max="39" width="2.33203125" style="38" customWidth="1"/>
    <col min="40" max="40" width="2.109375" style="38" customWidth="1"/>
    <col min="41" max="41" width="3.33203125" style="40" customWidth="1"/>
    <col min="42" max="43" width="2.109375" style="38" customWidth="1"/>
    <col min="44" max="44" width="3.33203125" style="40" customWidth="1"/>
    <col min="45" max="45" width="8.88671875" style="38"/>
    <col min="46" max="56" width="9.109375" style="38" hidden="1" customWidth="1"/>
    <col min="57" max="62" width="8.88671875" style="38"/>
    <col min="63" max="69" width="0" style="38" hidden="1" customWidth="1"/>
    <col min="70" max="256" width="8.88671875" style="38"/>
    <col min="257" max="281" width="2.33203125" style="38" customWidth="1"/>
    <col min="282" max="286" width="2.109375" style="38" customWidth="1"/>
    <col min="287" max="295" width="2.33203125" style="38" customWidth="1"/>
    <col min="296" max="300" width="2.109375" style="38" customWidth="1"/>
    <col min="301" max="512" width="8.88671875" style="38"/>
    <col min="513" max="537" width="2.33203125" style="38" customWidth="1"/>
    <col min="538" max="542" width="2.109375" style="38" customWidth="1"/>
    <col min="543" max="551" width="2.33203125" style="38" customWidth="1"/>
    <col min="552" max="556" width="2.109375" style="38" customWidth="1"/>
    <col min="557" max="768" width="8.88671875" style="38"/>
    <col min="769" max="793" width="2.33203125" style="38" customWidth="1"/>
    <col min="794" max="798" width="2.109375" style="38" customWidth="1"/>
    <col min="799" max="807" width="2.33203125" style="38" customWidth="1"/>
    <col min="808" max="812" width="2.109375" style="38" customWidth="1"/>
    <col min="813" max="1024" width="8.88671875" style="38"/>
    <col min="1025" max="1049" width="2.33203125" style="38" customWidth="1"/>
    <col min="1050" max="1054" width="2.109375" style="38" customWidth="1"/>
    <col min="1055" max="1063" width="2.33203125" style="38" customWidth="1"/>
    <col min="1064" max="1068" width="2.109375" style="38" customWidth="1"/>
    <col min="1069" max="1280" width="8.88671875" style="38"/>
    <col min="1281" max="1305" width="2.33203125" style="38" customWidth="1"/>
    <col min="1306" max="1310" width="2.109375" style="38" customWidth="1"/>
    <col min="1311" max="1319" width="2.33203125" style="38" customWidth="1"/>
    <col min="1320" max="1324" width="2.109375" style="38" customWidth="1"/>
    <col min="1325" max="1536" width="8.88671875" style="38"/>
    <col min="1537" max="1561" width="2.33203125" style="38" customWidth="1"/>
    <col min="1562" max="1566" width="2.109375" style="38" customWidth="1"/>
    <col min="1567" max="1575" width="2.33203125" style="38" customWidth="1"/>
    <col min="1576" max="1580" width="2.109375" style="38" customWidth="1"/>
    <col min="1581" max="1792" width="8.88671875" style="38"/>
    <col min="1793" max="1817" width="2.33203125" style="38" customWidth="1"/>
    <col min="1818" max="1822" width="2.109375" style="38" customWidth="1"/>
    <col min="1823" max="1831" width="2.33203125" style="38" customWidth="1"/>
    <col min="1832" max="1836" width="2.109375" style="38" customWidth="1"/>
    <col min="1837" max="2048" width="8.88671875" style="38"/>
    <col min="2049" max="2073" width="2.33203125" style="38" customWidth="1"/>
    <col min="2074" max="2078" width="2.109375" style="38" customWidth="1"/>
    <col min="2079" max="2087" width="2.33203125" style="38" customWidth="1"/>
    <col min="2088" max="2092" width="2.109375" style="38" customWidth="1"/>
    <col min="2093" max="2304" width="8.88671875" style="38"/>
    <col min="2305" max="2329" width="2.33203125" style="38" customWidth="1"/>
    <col min="2330" max="2334" width="2.109375" style="38" customWidth="1"/>
    <col min="2335" max="2343" width="2.33203125" style="38" customWidth="1"/>
    <col min="2344" max="2348" width="2.109375" style="38" customWidth="1"/>
    <col min="2349" max="2560" width="8.88671875" style="38"/>
    <col min="2561" max="2585" width="2.33203125" style="38" customWidth="1"/>
    <col min="2586" max="2590" width="2.109375" style="38" customWidth="1"/>
    <col min="2591" max="2599" width="2.33203125" style="38" customWidth="1"/>
    <col min="2600" max="2604" width="2.109375" style="38" customWidth="1"/>
    <col min="2605" max="2816" width="8.88671875" style="38"/>
    <col min="2817" max="2841" width="2.33203125" style="38" customWidth="1"/>
    <col min="2842" max="2846" width="2.109375" style="38" customWidth="1"/>
    <col min="2847" max="2855" width="2.33203125" style="38" customWidth="1"/>
    <col min="2856" max="2860" width="2.109375" style="38" customWidth="1"/>
    <col min="2861" max="3072" width="8.88671875" style="38"/>
    <col min="3073" max="3097" width="2.33203125" style="38" customWidth="1"/>
    <col min="3098" max="3102" width="2.109375" style="38" customWidth="1"/>
    <col min="3103" max="3111" width="2.33203125" style="38" customWidth="1"/>
    <col min="3112" max="3116" width="2.109375" style="38" customWidth="1"/>
    <col min="3117" max="3328" width="8.88671875" style="38"/>
    <col min="3329" max="3353" width="2.33203125" style="38" customWidth="1"/>
    <col min="3354" max="3358" width="2.109375" style="38" customWidth="1"/>
    <col min="3359" max="3367" width="2.33203125" style="38" customWidth="1"/>
    <col min="3368" max="3372" width="2.109375" style="38" customWidth="1"/>
    <col min="3373" max="3584" width="8.88671875" style="38"/>
    <col min="3585" max="3609" width="2.33203125" style="38" customWidth="1"/>
    <col min="3610" max="3614" width="2.109375" style="38" customWidth="1"/>
    <col min="3615" max="3623" width="2.33203125" style="38" customWidth="1"/>
    <col min="3624" max="3628" width="2.109375" style="38" customWidth="1"/>
    <col min="3629" max="3840" width="8.88671875" style="38"/>
    <col min="3841" max="3865" width="2.33203125" style="38" customWidth="1"/>
    <col min="3866" max="3870" width="2.109375" style="38" customWidth="1"/>
    <col min="3871" max="3879" width="2.33203125" style="38" customWidth="1"/>
    <col min="3880" max="3884" width="2.109375" style="38" customWidth="1"/>
    <col min="3885" max="4096" width="8.88671875" style="38"/>
    <col min="4097" max="4121" width="2.33203125" style="38" customWidth="1"/>
    <col min="4122" max="4126" width="2.109375" style="38" customWidth="1"/>
    <col min="4127" max="4135" width="2.33203125" style="38" customWidth="1"/>
    <col min="4136" max="4140" width="2.109375" style="38" customWidth="1"/>
    <col min="4141" max="4352" width="8.88671875" style="38"/>
    <col min="4353" max="4377" width="2.33203125" style="38" customWidth="1"/>
    <col min="4378" max="4382" width="2.109375" style="38" customWidth="1"/>
    <col min="4383" max="4391" width="2.33203125" style="38" customWidth="1"/>
    <col min="4392" max="4396" width="2.109375" style="38" customWidth="1"/>
    <col min="4397" max="4608" width="8.88671875" style="38"/>
    <col min="4609" max="4633" width="2.33203125" style="38" customWidth="1"/>
    <col min="4634" max="4638" width="2.109375" style="38" customWidth="1"/>
    <col min="4639" max="4647" width="2.33203125" style="38" customWidth="1"/>
    <col min="4648" max="4652" width="2.109375" style="38" customWidth="1"/>
    <col min="4653" max="4864" width="8.88671875" style="38"/>
    <col min="4865" max="4889" width="2.33203125" style="38" customWidth="1"/>
    <col min="4890" max="4894" width="2.109375" style="38" customWidth="1"/>
    <col min="4895" max="4903" width="2.33203125" style="38" customWidth="1"/>
    <col min="4904" max="4908" width="2.109375" style="38" customWidth="1"/>
    <col min="4909" max="5120" width="8.88671875" style="38"/>
    <col min="5121" max="5145" width="2.33203125" style="38" customWidth="1"/>
    <col min="5146" max="5150" width="2.109375" style="38" customWidth="1"/>
    <col min="5151" max="5159" width="2.33203125" style="38" customWidth="1"/>
    <col min="5160" max="5164" width="2.109375" style="38" customWidth="1"/>
    <col min="5165" max="5376" width="8.88671875" style="38"/>
    <col min="5377" max="5401" width="2.33203125" style="38" customWidth="1"/>
    <col min="5402" max="5406" width="2.109375" style="38" customWidth="1"/>
    <col min="5407" max="5415" width="2.33203125" style="38" customWidth="1"/>
    <col min="5416" max="5420" width="2.109375" style="38" customWidth="1"/>
    <col min="5421" max="5632" width="8.88671875" style="38"/>
    <col min="5633" max="5657" width="2.33203125" style="38" customWidth="1"/>
    <col min="5658" max="5662" width="2.109375" style="38" customWidth="1"/>
    <col min="5663" max="5671" width="2.33203125" style="38" customWidth="1"/>
    <col min="5672" max="5676" width="2.109375" style="38" customWidth="1"/>
    <col min="5677" max="5888" width="8.88671875" style="38"/>
    <col min="5889" max="5913" width="2.33203125" style="38" customWidth="1"/>
    <col min="5914" max="5918" width="2.109375" style="38" customWidth="1"/>
    <col min="5919" max="5927" width="2.33203125" style="38" customWidth="1"/>
    <col min="5928" max="5932" width="2.109375" style="38" customWidth="1"/>
    <col min="5933" max="6144" width="8.88671875" style="38"/>
    <col min="6145" max="6169" width="2.33203125" style="38" customWidth="1"/>
    <col min="6170" max="6174" width="2.109375" style="38" customWidth="1"/>
    <col min="6175" max="6183" width="2.33203125" style="38" customWidth="1"/>
    <col min="6184" max="6188" width="2.109375" style="38" customWidth="1"/>
    <col min="6189" max="6400" width="8.88671875" style="38"/>
    <col min="6401" max="6425" width="2.33203125" style="38" customWidth="1"/>
    <col min="6426" max="6430" width="2.109375" style="38" customWidth="1"/>
    <col min="6431" max="6439" width="2.33203125" style="38" customWidth="1"/>
    <col min="6440" max="6444" width="2.109375" style="38" customWidth="1"/>
    <col min="6445" max="6656" width="8.88671875" style="38"/>
    <col min="6657" max="6681" width="2.33203125" style="38" customWidth="1"/>
    <col min="6682" max="6686" width="2.109375" style="38" customWidth="1"/>
    <col min="6687" max="6695" width="2.33203125" style="38" customWidth="1"/>
    <col min="6696" max="6700" width="2.109375" style="38" customWidth="1"/>
    <col min="6701" max="6912" width="8.88671875" style="38"/>
    <col min="6913" max="6937" width="2.33203125" style="38" customWidth="1"/>
    <col min="6938" max="6942" width="2.109375" style="38" customWidth="1"/>
    <col min="6943" max="6951" width="2.33203125" style="38" customWidth="1"/>
    <col min="6952" max="6956" width="2.109375" style="38" customWidth="1"/>
    <col min="6957" max="7168" width="8.88671875" style="38"/>
    <col min="7169" max="7193" width="2.33203125" style="38" customWidth="1"/>
    <col min="7194" max="7198" width="2.109375" style="38" customWidth="1"/>
    <col min="7199" max="7207" width="2.33203125" style="38" customWidth="1"/>
    <col min="7208" max="7212" width="2.109375" style="38" customWidth="1"/>
    <col min="7213" max="7424" width="8.88671875" style="38"/>
    <col min="7425" max="7449" width="2.33203125" style="38" customWidth="1"/>
    <col min="7450" max="7454" width="2.109375" style="38" customWidth="1"/>
    <col min="7455" max="7463" width="2.33203125" style="38" customWidth="1"/>
    <col min="7464" max="7468" width="2.109375" style="38" customWidth="1"/>
    <col min="7469" max="7680" width="8.88671875" style="38"/>
    <col min="7681" max="7705" width="2.33203125" style="38" customWidth="1"/>
    <col min="7706" max="7710" width="2.109375" style="38" customWidth="1"/>
    <col min="7711" max="7719" width="2.33203125" style="38" customWidth="1"/>
    <col min="7720" max="7724" width="2.109375" style="38" customWidth="1"/>
    <col min="7725" max="7936" width="8.88671875" style="38"/>
    <col min="7937" max="7961" width="2.33203125" style="38" customWidth="1"/>
    <col min="7962" max="7966" width="2.109375" style="38" customWidth="1"/>
    <col min="7967" max="7975" width="2.33203125" style="38" customWidth="1"/>
    <col min="7976" max="7980" width="2.109375" style="38" customWidth="1"/>
    <col min="7981" max="8192" width="8.88671875" style="38"/>
    <col min="8193" max="8217" width="2.33203125" style="38" customWidth="1"/>
    <col min="8218" max="8222" width="2.109375" style="38" customWidth="1"/>
    <col min="8223" max="8231" width="2.33203125" style="38" customWidth="1"/>
    <col min="8232" max="8236" width="2.109375" style="38" customWidth="1"/>
    <col min="8237" max="8448" width="8.88671875" style="38"/>
    <col min="8449" max="8473" width="2.33203125" style="38" customWidth="1"/>
    <col min="8474" max="8478" width="2.109375" style="38" customWidth="1"/>
    <col min="8479" max="8487" width="2.33203125" style="38" customWidth="1"/>
    <col min="8488" max="8492" width="2.109375" style="38" customWidth="1"/>
    <col min="8493" max="8704" width="8.88671875" style="38"/>
    <col min="8705" max="8729" width="2.33203125" style="38" customWidth="1"/>
    <col min="8730" max="8734" width="2.109375" style="38" customWidth="1"/>
    <col min="8735" max="8743" width="2.33203125" style="38" customWidth="1"/>
    <col min="8744" max="8748" width="2.109375" style="38" customWidth="1"/>
    <col min="8749" max="8960" width="8.88671875" style="38"/>
    <col min="8961" max="8985" width="2.33203125" style="38" customWidth="1"/>
    <col min="8986" max="8990" width="2.109375" style="38" customWidth="1"/>
    <col min="8991" max="8999" width="2.33203125" style="38" customWidth="1"/>
    <col min="9000" max="9004" width="2.109375" style="38" customWidth="1"/>
    <col min="9005" max="9216" width="8.88671875" style="38"/>
    <col min="9217" max="9241" width="2.33203125" style="38" customWidth="1"/>
    <col min="9242" max="9246" width="2.109375" style="38" customWidth="1"/>
    <col min="9247" max="9255" width="2.33203125" style="38" customWidth="1"/>
    <col min="9256" max="9260" width="2.109375" style="38" customWidth="1"/>
    <col min="9261" max="9472" width="8.88671875" style="38"/>
    <col min="9473" max="9497" width="2.33203125" style="38" customWidth="1"/>
    <col min="9498" max="9502" width="2.109375" style="38" customWidth="1"/>
    <col min="9503" max="9511" width="2.33203125" style="38" customWidth="1"/>
    <col min="9512" max="9516" width="2.109375" style="38" customWidth="1"/>
    <col min="9517" max="9728" width="8.88671875" style="38"/>
    <col min="9729" max="9753" width="2.33203125" style="38" customWidth="1"/>
    <col min="9754" max="9758" width="2.109375" style="38" customWidth="1"/>
    <col min="9759" max="9767" width="2.33203125" style="38" customWidth="1"/>
    <col min="9768" max="9772" width="2.109375" style="38" customWidth="1"/>
    <col min="9773" max="9984" width="8.88671875" style="38"/>
    <col min="9985" max="10009" width="2.33203125" style="38" customWidth="1"/>
    <col min="10010" max="10014" width="2.109375" style="38" customWidth="1"/>
    <col min="10015" max="10023" width="2.33203125" style="38" customWidth="1"/>
    <col min="10024" max="10028" width="2.109375" style="38" customWidth="1"/>
    <col min="10029" max="10240" width="8.88671875" style="38"/>
    <col min="10241" max="10265" width="2.33203125" style="38" customWidth="1"/>
    <col min="10266" max="10270" width="2.109375" style="38" customWidth="1"/>
    <col min="10271" max="10279" width="2.33203125" style="38" customWidth="1"/>
    <col min="10280" max="10284" width="2.109375" style="38" customWidth="1"/>
    <col min="10285" max="10496" width="8.88671875" style="38"/>
    <col min="10497" max="10521" width="2.33203125" style="38" customWidth="1"/>
    <col min="10522" max="10526" width="2.109375" style="38" customWidth="1"/>
    <col min="10527" max="10535" width="2.33203125" style="38" customWidth="1"/>
    <col min="10536" max="10540" width="2.109375" style="38" customWidth="1"/>
    <col min="10541" max="10752" width="8.88671875" style="38"/>
    <col min="10753" max="10777" width="2.33203125" style="38" customWidth="1"/>
    <col min="10778" max="10782" width="2.109375" style="38" customWidth="1"/>
    <col min="10783" max="10791" width="2.33203125" style="38" customWidth="1"/>
    <col min="10792" max="10796" width="2.109375" style="38" customWidth="1"/>
    <col min="10797" max="11008" width="8.88671875" style="38"/>
    <col min="11009" max="11033" width="2.33203125" style="38" customWidth="1"/>
    <col min="11034" max="11038" width="2.109375" style="38" customWidth="1"/>
    <col min="11039" max="11047" width="2.33203125" style="38" customWidth="1"/>
    <col min="11048" max="11052" width="2.109375" style="38" customWidth="1"/>
    <col min="11053" max="11264" width="8.88671875" style="38"/>
    <col min="11265" max="11289" width="2.33203125" style="38" customWidth="1"/>
    <col min="11290" max="11294" width="2.109375" style="38" customWidth="1"/>
    <col min="11295" max="11303" width="2.33203125" style="38" customWidth="1"/>
    <col min="11304" max="11308" width="2.109375" style="38" customWidth="1"/>
    <col min="11309" max="11520" width="8.88671875" style="38"/>
    <col min="11521" max="11545" width="2.33203125" style="38" customWidth="1"/>
    <col min="11546" max="11550" width="2.109375" style="38" customWidth="1"/>
    <col min="11551" max="11559" width="2.33203125" style="38" customWidth="1"/>
    <col min="11560" max="11564" width="2.109375" style="38" customWidth="1"/>
    <col min="11565" max="11776" width="8.88671875" style="38"/>
    <col min="11777" max="11801" width="2.33203125" style="38" customWidth="1"/>
    <col min="11802" max="11806" width="2.109375" style="38" customWidth="1"/>
    <col min="11807" max="11815" width="2.33203125" style="38" customWidth="1"/>
    <col min="11816" max="11820" width="2.109375" style="38" customWidth="1"/>
    <col min="11821" max="12032" width="8.88671875" style="38"/>
    <col min="12033" max="12057" width="2.33203125" style="38" customWidth="1"/>
    <col min="12058" max="12062" width="2.109375" style="38" customWidth="1"/>
    <col min="12063" max="12071" width="2.33203125" style="38" customWidth="1"/>
    <col min="12072" max="12076" width="2.109375" style="38" customWidth="1"/>
    <col min="12077" max="12288" width="8.88671875" style="38"/>
    <col min="12289" max="12313" width="2.33203125" style="38" customWidth="1"/>
    <col min="12314" max="12318" width="2.109375" style="38" customWidth="1"/>
    <col min="12319" max="12327" width="2.33203125" style="38" customWidth="1"/>
    <col min="12328" max="12332" width="2.109375" style="38" customWidth="1"/>
    <col min="12333" max="12544" width="8.88671875" style="38"/>
    <col min="12545" max="12569" width="2.33203125" style="38" customWidth="1"/>
    <col min="12570" max="12574" width="2.109375" style="38" customWidth="1"/>
    <col min="12575" max="12583" width="2.33203125" style="38" customWidth="1"/>
    <col min="12584" max="12588" width="2.109375" style="38" customWidth="1"/>
    <col min="12589" max="12800" width="8.88671875" style="38"/>
    <col min="12801" max="12825" width="2.33203125" style="38" customWidth="1"/>
    <col min="12826" max="12830" width="2.109375" style="38" customWidth="1"/>
    <col min="12831" max="12839" width="2.33203125" style="38" customWidth="1"/>
    <col min="12840" max="12844" width="2.109375" style="38" customWidth="1"/>
    <col min="12845" max="13056" width="8.88671875" style="38"/>
    <col min="13057" max="13081" width="2.33203125" style="38" customWidth="1"/>
    <col min="13082" max="13086" width="2.109375" style="38" customWidth="1"/>
    <col min="13087" max="13095" width="2.33203125" style="38" customWidth="1"/>
    <col min="13096" max="13100" width="2.109375" style="38" customWidth="1"/>
    <col min="13101" max="13312" width="8.88671875" style="38"/>
    <col min="13313" max="13337" width="2.33203125" style="38" customWidth="1"/>
    <col min="13338" max="13342" width="2.109375" style="38" customWidth="1"/>
    <col min="13343" max="13351" width="2.33203125" style="38" customWidth="1"/>
    <col min="13352" max="13356" width="2.109375" style="38" customWidth="1"/>
    <col min="13357" max="13568" width="8.88671875" style="38"/>
    <col min="13569" max="13593" width="2.33203125" style="38" customWidth="1"/>
    <col min="13594" max="13598" width="2.109375" style="38" customWidth="1"/>
    <col min="13599" max="13607" width="2.33203125" style="38" customWidth="1"/>
    <col min="13608" max="13612" width="2.109375" style="38" customWidth="1"/>
    <col min="13613" max="13824" width="8.88671875" style="38"/>
    <col min="13825" max="13849" width="2.33203125" style="38" customWidth="1"/>
    <col min="13850" max="13854" width="2.109375" style="38" customWidth="1"/>
    <col min="13855" max="13863" width="2.33203125" style="38" customWidth="1"/>
    <col min="13864" max="13868" width="2.109375" style="38" customWidth="1"/>
    <col min="13869" max="14080" width="8.88671875" style="38"/>
    <col min="14081" max="14105" width="2.33203125" style="38" customWidth="1"/>
    <col min="14106" max="14110" width="2.109375" style="38" customWidth="1"/>
    <col min="14111" max="14119" width="2.33203125" style="38" customWidth="1"/>
    <col min="14120" max="14124" width="2.109375" style="38" customWidth="1"/>
    <col min="14125" max="14336" width="8.88671875" style="38"/>
    <col min="14337" max="14361" width="2.33203125" style="38" customWidth="1"/>
    <col min="14362" max="14366" width="2.109375" style="38" customWidth="1"/>
    <col min="14367" max="14375" width="2.33203125" style="38" customWidth="1"/>
    <col min="14376" max="14380" width="2.109375" style="38" customWidth="1"/>
    <col min="14381" max="14592" width="8.88671875" style="38"/>
    <col min="14593" max="14617" width="2.33203125" style="38" customWidth="1"/>
    <col min="14618" max="14622" width="2.109375" style="38" customWidth="1"/>
    <col min="14623" max="14631" width="2.33203125" style="38" customWidth="1"/>
    <col min="14632" max="14636" width="2.109375" style="38" customWidth="1"/>
    <col min="14637" max="14848" width="8.88671875" style="38"/>
    <col min="14849" max="14873" width="2.33203125" style="38" customWidth="1"/>
    <col min="14874" max="14878" width="2.109375" style="38" customWidth="1"/>
    <col min="14879" max="14887" width="2.33203125" style="38" customWidth="1"/>
    <col min="14888" max="14892" width="2.109375" style="38" customWidth="1"/>
    <col min="14893" max="15104" width="8.88671875" style="38"/>
    <col min="15105" max="15129" width="2.33203125" style="38" customWidth="1"/>
    <col min="15130" max="15134" width="2.109375" style="38" customWidth="1"/>
    <col min="15135" max="15143" width="2.33203125" style="38" customWidth="1"/>
    <col min="15144" max="15148" width="2.109375" style="38" customWidth="1"/>
    <col min="15149" max="15360" width="8.88671875" style="38"/>
    <col min="15361" max="15385" width="2.33203125" style="38" customWidth="1"/>
    <col min="15386" max="15390" width="2.109375" style="38" customWidth="1"/>
    <col min="15391" max="15399" width="2.33203125" style="38" customWidth="1"/>
    <col min="15400" max="15404" width="2.109375" style="38" customWidth="1"/>
    <col min="15405" max="15616" width="8.88671875" style="38"/>
    <col min="15617" max="15641" width="2.33203125" style="38" customWidth="1"/>
    <col min="15642" max="15646" width="2.109375" style="38" customWidth="1"/>
    <col min="15647" max="15655" width="2.33203125" style="38" customWidth="1"/>
    <col min="15656" max="15660" width="2.109375" style="38" customWidth="1"/>
    <col min="15661" max="15872" width="8.88671875" style="38"/>
    <col min="15873" max="15897" width="2.33203125" style="38" customWidth="1"/>
    <col min="15898" max="15902" width="2.109375" style="38" customWidth="1"/>
    <col min="15903" max="15911" width="2.33203125" style="38" customWidth="1"/>
    <col min="15912" max="15916" width="2.109375" style="38" customWidth="1"/>
    <col min="15917" max="16128" width="8.88671875" style="38"/>
    <col min="16129" max="16153" width="2.33203125" style="38" customWidth="1"/>
    <col min="16154" max="16158" width="2.109375" style="38" customWidth="1"/>
    <col min="16159" max="16167" width="2.33203125" style="38" customWidth="1"/>
    <col min="16168" max="16172" width="2.109375" style="38" customWidth="1"/>
    <col min="16173" max="16384" width="8.88671875" style="38"/>
  </cols>
  <sheetData>
    <row r="1" spans="1:256" ht="20.399999999999999" x14ac:dyDescent="0.3">
      <c r="A1" s="37" t="s">
        <v>40</v>
      </c>
      <c r="AO1" s="41">
        <v>0</v>
      </c>
      <c r="AP1" s="42"/>
      <c r="AQ1" s="42"/>
      <c r="AR1" s="41">
        <v>0</v>
      </c>
      <c r="AV1" s="43">
        <v>1.3888888888888888E-2</v>
      </c>
    </row>
    <row r="2" spans="1:256" x14ac:dyDescent="0.3">
      <c r="A2" s="38" t="s">
        <v>42</v>
      </c>
      <c r="E2" s="38" t="s">
        <v>76</v>
      </c>
      <c r="P2" s="44" t="s">
        <v>22</v>
      </c>
      <c r="Q2" s="45"/>
      <c r="R2" s="45"/>
      <c r="S2" s="45"/>
      <c r="T2" s="45"/>
      <c r="U2" s="45"/>
      <c r="V2" s="45"/>
      <c r="W2" s="45" t="s">
        <v>3</v>
      </c>
      <c r="X2" s="45"/>
      <c r="Y2" s="46" t="s">
        <v>41</v>
      </c>
      <c r="Z2" s="45"/>
      <c r="AA2" s="45"/>
      <c r="AB2" s="45"/>
      <c r="AC2" s="45"/>
      <c r="AD2" s="47"/>
      <c r="AE2" s="48"/>
      <c r="AF2" s="48"/>
      <c r="AG2" s="49"/>
    </row>
    <row r="3" spans="1:256" ht="15" thickBot="1" x14ac:dyDescent="0.35">
      <c r="A3" s="38" t="s">
        <v>19</v>
      </c>
      <c r="D3" s="415">
        <f>Wedstrijden!I2</f>
        <v>45732</v>
      </c>
      <c r="E3" s="416"/>
      <c r="F3" s="416"/>
      <c r="G3" s="416"/>
      <c r="H3" s="416"/>
      <c r="I3" s="416"/>
      <c r="J3" s="416"/>
      <c r="K3" s="416"/>
      <c r="L3" s="416"/>
      <c r="M3" s="416"/>
      <c r="N3" s="417"/>
      <c r="P3" s="50" t="s">
        <v>18</v>
      </c>
      <c r="Q3" s="51" t="s">
        <v>43</v>
      </c>
      <c r="W3" s="38" t="s">
        <v>0</v>
      </c>
      <c r="Y3" s="51" t="s">
        <v>44</v>
      </c>
      <c r="AG3" s="52"/>
    </row>
    <row r="4" spans="1:256" x14ac:dyDescent="0.3">
      <c r="A4" s="38" t="s">
        <v>20</v>
      </c>
      <c r="D4" s="418">
        <v>19</v>
      </c>
      <c r="E4" s="418"/>
      <c r="F4" s="53"/>
      <c r="G4" s="419">
        <f>VLOOKUP(D4,Wedstrijden!A6:B57,2,0)</f>
        <v>0.70138888888888884</v>
      </c>
      <c r="H4" s="419"/>
      <c r="I4" s="419"/>
      <c r="J4" s="54" t="s">
        <v>16</v>
      </c>
      <c r="K4" s="419">
        <f>G4+AV1</f>
        <v>0.71527777777777768</v>
      </c>
      <c r="L4" s="419"/>
      <c r="M4" s="419"/>
      <c r="N4" s="53"/>
      <c r="P4" s="50" t="s">
        <v>17</v>
      </c>
      <c r="Q4" s="51" t="s">
        <v>45</v>
      </c>
      <c r="W4" s="38" t="s">
        <v>9</v>
      </c>
      <c r="Y4" s="51" t="s">
        <v>46</v>
      </c>
      <c r="AG4" s="52"/>
      <c r="BF4" s="406" t="s">
        <v>102</v>
      </c>
      <c r="BG4" s="407"/>
      <c r="BH4" s="407"/>
      <c r="BI4" s="408"/>
    </row>
    <row r="5" spans="1:256" x14ac:dyDescent="0.3">
      <c r="A5" s="38" t="s">
        <v>164</v>
      </c>
      <c r="D5" s="260" t="str">
        <f>VLOOKUP(D4,Wedstrijden!A6:D33,4,0)</f>
        <v>A</v>
      </c>
      <c r="P5" s="50" t="s">
        <v>10</v>
      </c>
      <c r="Q5" s="51" t="s">
        <v>47</v>
      </c>
      <c r="W5" s="38" t="s">
        <v>12</v>
      </c>
      <c r="Y5" s="51" t="s">
        <v>48</v>
      </c>
      <c r="AG5" s="52"/>
      <c r="BF5" s="409"/>
      <c r="BG5" s="410"/>
      <c r="BH5" s="410"/>
      <c r="BI5" s="411"/>
    </row>
    <row r="6" spans="1:256" ht="14.4" thickBot="1" x14ac:dyDescent="0.2">
      <c r="A6" s="38" t="s">
        <v>21</v>
      </c>
      <c r="D6" s="55" t="str">
        <f>Wedstrijden!K2</f>
        <v>Den Bosch</v>
      </c>
      <c r="P6" s="50" t="s">
        <v>11</v>
      </c>
      <c r="Q6" s="51" t="s">
        <v>49</v>
      </c>
      <c r="W6" s="38" t="s">
        <v>13</v>
      </c>
      <c r="Y6" s="51" t="s">
        <v>50</v>
      </c>
      <c r="AG6" s="52"/>
      <c r="AH6" s="354" t="s">
        <v>51</v>
      </c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BF6" s="412"/>
      <c r="BG6" s="413"/>
      <c r="BH6" s="413"/>
      <c r="BI6" s="414"/>
    </row>
    <row r="7" spans="1:256" x14ac:dyDescent="0.2">
      <c r="A7" s="56" t="s">
        <v>52</v>
      </c>
      <c r="B7" s="57"/>
      <c r="C7" s="57"/>
      <c r="D7" s="57"/>
      <c r="E7" s="58" t="s">
        <v>53</v>
      </c>
      <c r="F7" s="57"/>
      <c r="G7" s="59" t="str">
        <f>VLOOKUP(D4,Wedstrijden!A6:L57,5,0)</f>
        <v>SVG Den Bosch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 t="s">
        <v>54</v>
      </c>
      <c r="X7" s="57"/>
      <c r="Y7" s="57"/>
      <c r="Z7" s="58" t="s">
        <v>55</v>
      </c>
      <c r="AA7" s="58"/>
      <c r="AB7" s="57"/>
      <c r="AC7" s="59" t="str">
        <f>VLOOKUP(D4,Wedstrijden!A6:L57,9,0)</f>
        <v>VZ&amp;PC Nautilus 1</v>
      </c>
      <c r="AD7" s="60"/>
      <c r="AE7" s="61"/>
      <c r="AF7" s="61"/>
      <c r="AG7" s="61"/>
      <c r="AH7" s="61"/>
      <c r="AI7" s="61"/>
      <c r="AJ7" s="57"/>
      <c r="AK7" s="57"/>
      <c r="AL7" s="57"/>
      <c r="AM7" s="57"/>
      <c r="AN7" s="57"/>
      <c r="AO7" s="61"/>
      <c r="AP7" s="57"/>
      <c r="AQ7" s="57"/>
      <c r="AR7" s="62"/>
    </row>
    <row r="8" spans="1:256" x14ac:dyDescent="0.3">
      <c r="A8" s="63" t="s">
        <v>56</v>
      </c>
      <c r="B8" s="64"/>
      <c r="C8" s="64"/>
      <c r="D8" s="64"/>
      <c r="E8" s="64"/>
      <c r="F8" s="64"/>
      <c r="G8" s="64"/>
      <c r="H8" s="64"/>
      <c r="I8" s="64"/>
      <c r="J8" s="65" t="str">
        <f>VLOOKUP(D4,Wedstrijden!A6:P343,13,0)</f>
        <v>Hans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 t="s">
        <v>57</v>
      </c>
      <c r="X8" s="64"/>
      <c r="Y8" s="64"/>
      <c r="Z8" s="66" t="str">
        <f>VLOOKUP(D4,Wedstrijden!A6:N170,14,0)</f>
        <v>Gea</v>
      </c>
      <c r="AA8" s="64"/>
      <c r="AB8" s="64"/>
      <c r="AC8" s="64"/>
      <c r="AD8" s="67"/>
      <c r="AE8" s="68"/>
      <c r="AF8" s="68"/>
      <c r="AG8" s="68"/>
      <c r="AH8" s="68"/>
      <c r="AI8" s="68"/>
      <c r="AJ8" s="69" t="s">
        <v>17</v>
      </c>
      <c r="AK8" s="64"/>
      <c r="AL8" s="64"/>
      <c r="AM8" s="64"/>
      <c r="AN8" s="64"/>
      <c r="AO8" s="68"/>
      <c r="AP8" s="64"/>
      <c r="AQ8" s="64"/>
      <c r="AR8" s="70"/>
    </row>
    <row r="9" spans="1:256" ht="14.4" thickBot="1" x14ac:dyDescent="0.35">
      <c r="A9" s="71" t="s">
        <v>58</v>
      </c>
      <c r="B9" s="72"/>
      <c r="C9" s="72"/>
      <c r="D9" s="72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 t="s">
        <v>59</v>
      </c>
      <c r="X9" s="72"/>
      <c r="Y9" s="72"/>
      <c r="Z9" s="72"/>
      <c r="AA9" s="72"/>
      <c r="AB9" s="73"/>
      <c r="AC9" s="73"/>
      <c r="AD9" s="75"/>
      <c r="AE9" s="76"/>
      <c r="AF9" s="76"/>
      <c r="AG9" s="76"/>
      <c r="AH9" s="76"/>
      <c r="AI9" s="76"/>
      <c r="AJ9" s="73"/>
      <c r="AK9" s="73"/>
      <c r="AL9" s="73"/>
      <c r="AM9" s="73"/>
      <c r="AN9" s="73"/>
      <c r="AO9" s="76"/>
      <c r="AP9" s="73"/>
      <c r="AQ9" s="73"/>
      <c r="AR9" s="77"/>
    </row>
    <row r="10" spans="1:256" ht="15" x14ac:dyDescent="0.3">
      <c r="A10" s="78" t="s">
        <v>60</v>
      </c>
      <c r="B10" s="79"/>
      <c r="C10" s="79"/>
      <c r="D10" s="79"/>
      <c r="E10" s="79"/>
      <c r="F10" s="356" t="str">
        <f>+G7</f>
        <v>SVG Den Bosch</v>
      </c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7"/>
      <c r="Z10" s="362" t="s">
        <v>8</v>
      </c>
      <c r="AA10" s="363"/>
      <c r="AB10" s="363"/>
      <c r="AC10" s="363"/>
      <c r="AD10" s="364"/>
      <c r="AE10" s="80"/>
      <c r="AF10" s="80"/>
      <c r="AG10" s="80"/>
      <c r="AH10" s="80" t="s">
        <v>61</v>
      </c>
      <c r="AI10" s="80" t="s">
        <v>61</v>
      </c>
      <c r="AJ10" s="371" t="s">
        <v>14</v>
      </c>
      <c r="AK10" s="372"/>
      <c r="AL10" s="377" t="s">
        <v>62</v>
      </c>
      <c r="AM10" s="378"/>
      <c r="AN10" s="383" t="s">
        <v>15</v>
      </c>
      <c r="AO10" s="384"/>
      <c r="AP10" s="384"/>
      <c r="AQ10" s="384"/>
      <c r="AR10" s="385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2" t="s">
        <v>136</v>
      </c>
      <c r="BL10" s="82" t="str">
        <f>CONCATENATE($BL$12&amp;BK10&amp;"x")</f>
        <v>swwx</v>
      </c>
      <c r="BM10" s="82" t="str">
        <f>CONCATENATE($BM$12&amp;BK10&amp;"x")</f>
        <v>dwx</v>
      </c>
      <c r="BN10" s="82" t="str">
        <f>CONCATENATE($BN$12&amp;BK10&amp;"x")</f>
        <v>pwx</v>
      </c>
      <c r="BO10" s="82" t="str">
        <f>CONCATENATE($BO$12&amp;BK10&amp;"x")</f>
        <v>umvwx</v>
      </c>
      <c r="BP10" s="82" t="str">
        <f>CONCATENATE($BP$12&amp;BK10&amp;"x")</f>
        <v>uzvwx</v>
      </c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1" spans="1:256" x14ac:dyDescent="0.3">
      <c r="A11" s="393" t="s">
        <v>7</v>
      </c>
      <c r="B11" s="394"/>
      <c r="C11" s="394"/>
      <c r="D11" s="394"/>
      <c r="E11" s="81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  <c r="Z11" s="365"/>
      <c r="AA11" s="366"/>
      <c r="AB11" s="366"/>
      <c r="AC11" s="366"/>
      <c r="AD11" s="367"/>
      <c r="AE11" s="83" t="s">
        <v>63</v>
      </c>
      <c r="AF11" s="83"/>
      <c r="AG11" s="83"/>
      <c r="AH11" s="83" t="s">
        <v>64</v>
      </c>
      <c r="AI11" s="83" t="s">
        <v>65</v>
      </c>
      <c r="AJ11" s="373"/>
      <c r="AK11" s="374"/>
      <c r="AL11" s="379"/>
      <c r="AM11" s="380"/>
      <c r="AN11" s="386"/>
      <c r="AO11" s="387"/>
      <c r="AP11" s="387"/>
      <c r="AQ11" s="387"/>
      <c r="AR11" s="388"/>
      <c r="AS11" s="81"/>
      <c r="AT11" s="81"/>
      <c r="AU11" s="81" t="s">
        <v>17</v>
      </c>
      <c r="AV11" s="81" t="s">
        <v>18</v>
      </c>
      <c r="AW11" s="81" t="s">
        <v>77</v>
      </c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2" t="s">
        <v>142</v>
      </c>
      <c r="BL11" s="82" t="str">
        <f>CONCATENATE($BL$12&amp;BK11&amp;"x")</f>
        <v>swbx</v>
      </c>
      <c r="BM11" s="82" t="str">
        <f>CONCATENATE($BM$12&amp;BK11&amp;"x")</f>
        <v>dbx</v>
      </c>
      <c r="BN11" s="82" t="str">
        <f>CONCATENATE($BN$12&amp;BK11&amp;"x")</f>
        <v>pbx</v>
      </c>
      <c r="BO11" s="82" t="str">
        <f>CONCATENATE($BO$12&amp;BK11&amp;"x")</f>
        <v>umvbx</v>
      </c>
      <c r="BP11" s="82" t="str">
        <f>CONCATENATE($BP$12&amp;BK11&amp;"x")</f>
        <v>uzvbx</v>
      </c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</row>
    <row r="12" spans="1:256" ht="18" x14ac:dyDescent="0.35">
      <c r="A12" s="395"/>
      <c r="B12" s="396"/>
      <c r="C12" s="396"/>
      <c r="D12" s="394"/>
      <c r="E12" s="81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1"/>
      <c r="Z12" s="368"/>
      <c r="AA12" s="369"/>
      <c r="AB12" s="369"/>
      <c r="AC12" s="369"/>
      <c r="AD12" s="370"/>
      <c r="AE12" s="84" t="s">
        <v>17</v>
      </c>
      <c r="AF12" s="84" t="s">
        <v>10</v>
      </c>
      <c r="AG12" s="84" t="s">
        <v>11</v>
      </c>
      <c r="AH12" s="84" t="s">
        <v>66</v>
      </c>
      <c r="AI12" s="84" t="s">
        <v>66</v>
      </c>
      <c r="AJ12" s="375"/>
      <c r="AK12" s="376"/>
      <c r="AL12" s="381"/>
      <c r="AM12" s="382"/>
      <c r="AN12" s="389" t="s">
        <v>17</v>
      </c>
      <c r="AO12" s="369"/>
      <c r="AP12" s="85"/>
      <c r="AQ12" s="369" t="s">
        <v>18</v>
      </c>
      <c r="AR12" s="390"/>
      <c r="AS12" s="81"/>
      <c r="AT12" s="81"/>
      <c r="AU12" s="81" t="s">
        <v>78</v>
      </c>
      <c r="AV12" s="81" t="s">
        <v>79</v>
      </c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 t="s">
        <v>138</v>
      </c>
      <c r="BM12" s="81" t="s">
        <v>139</v>
      </c>
      <c r="BN12" s="81" t="s">
        <v>79</v>
      </c>
      <c r="BO12" s="81" t="s">
        <v>140</v>
      </c>
      <c r="BP12" s="81" t="s">
        <v>141</v>
      </c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</row>
    <row r="13" spans="1:256" ht="15.6" x14ac:dyDescent="0.3">
      <c r="A13" s="86" t="s">
        <v>0</v>
      </c>
      <c r="B13" s="87" t="s">
        <v>1</v>
      </c>
      <c r="C13" s="88"/>
      <c r="D13" s="89"/>
      <c r="E13" s="88" t="s">
        <v>2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90"/>
      <c r="V13" s="91" t="s">
        <v>3</v>
      </c>
      <c r="W13" s="91" t="s">
        <v>4</v>
      </c>
      <c r="X13" s="91" t="s">
        <v>5</v>
      </c>
      <c r="Y13" s="92" t="s">
        <v>6</v>
      </c>
      <c r="Z13" s="93"/>
      <c r="AA13" s="94">
        <v>0</v>
      </c>
      <c r="AB13" s="95" t="s">
        <v>16</v>
      </c>
      <c r="AC13" s="94">
        <v>5</v>
      </c>
      <c r="AD13" s="96">
        <v>9</v>
      </c>
      <c r="AE13" s="97"/>
      <c r="AF13" s="97"/>
      <c r="AG13" s="98" t="s">
        <v>265</v>
      </c>
      <c r="AH13" s="99"/>
      <c r="AI13" s="99"/>
      <c r="AJ13" s="391" t="s">
        <v>17</v>
      </c>
      <c r="AK13" s="392"/>
      <c r="AL13" s="401">
        <v>4</v>
      </c>
      <c r="AM13" s="402"/>
      <c r="AN13" s="100"/>
      <c r="AO13" s="101">
        <f>IF(BQ13="","",IF(BQ13=$BL$10,"2"+AO1,IF(BQ13=$BM$10,"1"+AO1,IF(BQ13=$BN$10,"0"+AO1,IF(BQ13=$BO$10,"0"+AO1,IF(BQ13=$BP$10,"0"+AO1,"0"+AO1))))))</f>
        <v>1</v>
      </c>
      <c r="AP13" s="95" t="s">
        <v>16</v>
      </c>
      <c r="AQ13" s="102"/>
      <c r="AR13" s="103">
        <f>IF(BQ13="","",IF(BQ13=$BL$11,"2"+AR1,IF(BQ13=$BM$11,"1"+AR1,IF(BQ13=$BN$11,"0"+AR1,IF(BQ13=$BO$11,"0"+AR1,IF(BQ13=$BP$11,"0"+AR1,"0"+AR1))))))</f>
        <v>0</v>
      </c>
      <c r="AY13" s="38" t="str">
        <f>CONCATENATE(AJ13&amp;AL13)</f>
        <v>W4</v>
      </c>
      <c r="AZ13" s="38" t="str">
        <f>IF(AE13=$AW$11,"2","0")</f>
        <v>0</v>
      </c>
      <c r="BA13" s="38" t="str">
        <f>IF(AG13=$AW$11,"1","0")</f>
        <v>1</v>
      </c>
      <c r="BB13" s="38" t="str">
        <f>IF(AF13=$AW$11,"1","0")</f>
        <v>0</v>
      </c>
      <c r="BC13" s="38">
        <f>AZ13+BA13</f>
        <v>1</v>
      </c>
      <c r="BD13" s="38">
        <f>BB13+0</f>
        <v>0</v>
      </c>
      <c r="BL13" s="38" t="str">
        <f>IF(AE13="","",CONCATENATE($BL$12&amp;AJ13&amp;AE13))</f>
        <v/>
      </c>
      <c r="BM13" s="38" t="str">
        <f>IF(AG13="","",CONCATENATE($BM$12&amp;AJ13&amp;AG13))</f>
        <v>dWX</v>
      </c>
      <c r="BN13" s="38" t="str">
        <f>IF(AF13="","",CONCATENATE($BN$12&amp;AJ13,AF13))</f>
        <v/>
      </c>
      <c r="BO13" s="38" t="str">
        <f>IF(AH13="","",CONCATENATE($BO$12&amp;AJ13&amp;AH13))</f>
        <v/>
      </c>
      <c r="BP13" s="38" t="str">
        <f>IF(AI13="","",CONCATENATE($BP$12&amp;AJ13&amp;AI13))</f>
        <v/>
      </c>
      <c r="BQ13" s="38" t="str">
        <f>CONCATENATE(BL13&amp;BM13&amp;BN13&amp;BO13&amp;BP13)</f>
        <v>dWX</v>
      </c>
    </row>
    <row r="14" spans="1:256" ht="15.6" x14ac:dyDescent="0.3">
      <c r="A14" s="104" t="s">
        <v>265</v>
      </c>
      <c r="B14" s="397">
        <f>IF(ISBLANK(HLOOKUP($F$10,spelerslijsten!$B$1:$J$22,4,FALSE)),"",HLOOKUP($F$10,spelerslijsten!$B$1:$J$22,4,FALSE))</f>
        <v>3</v>
      </c>
      <c r="C14" s="398"/>
      <c r="D14" s="105"/>
      <c r="E14" s="106" t="str">
        <f>IF(ISBLANK(HLOOKUP($F$10,spelerslijsten!$B$1:$J$22,3,FALSE)),"",HLOOKUP($F$10,spelerslijsten!$B$1:$J$22,3,FALSE))</f>
        <v>Bjorn Blom</v>
      </c>
      <c r="F14" s="107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8">
        <f t="shared" ref="V14:V20" si="0">SUMIF($AY$13:$AY$46,AT14,$BC$13:$BC$46)</f>
        <v>0</v>
      </c>
      <c r="W14" s="109" t="str">
        <f>IF(AU14&gt;0,"x","")</f>
        <v/>
      </c>
      <c r="X14" s="110" t="str">
        <f>IF(AU14&gt;1,"x","")</f>
        <v/>
      </c>
      <c r="Y14" s="103" t="str">
        <f>IF(AU14&gt;2,"x","")</f>
        <v/>
      </c>
      <c r="Z14" s="111"/>
      <c r="AA14" s="112">
        <v>2</v>
      </c>
      <c r="AB14" s="113" t="str">
        <f>+AB13</f>
        <v>-</v>
      </c>
      <c r="AC14" s="112">
        <v>4</v>
      </c>
      <c r="AD14" s="114">
        <v>5</v>
      </c>
      <c r="AE14" s="115"/>
      <c r="AF14" s="115"/>
      <c r="AG14" s="116" t="s">
        <v>265</v>
      </c>
      <c r="AH14" s="117"/>
      <c r="AI14" s="117"/>
      <c r="AJ14" s="342" t="s">
        <v>17</v>
      </c>
      <c r="AK14" s="343"/>
      <c r="AL14" s="346">
        <v>6</v>
      </c>
      <c r="AM14" s="347"/>
      <c r="AN14" s="118"/>
      <c r="AO14" s="101">
        <f>IF(BQ14="","",IF(BQ14=$BL$10,"2"+AO13,IF(BQ14=$BM$10,"1"+AO13,IF(BQ14=$BN$10,"0"+AO13,IF(BQ14=$BO$10,"0"+AO13,IF(BQ14=$BP$10,"0"+AO13,"0"+AO13))))))</f>
        <v>2</v>
      </c>
      <c r="AP14" s="113" t="str">
        <f>+AP13</f>
        <v>-</v>
      </c>
      <c r="AQ14" s="119"/>
      <c r="AR14" s="103">
        <f>IF(BQ14="","",IF(BQ14=$BL$11,"2"+AR13,IF(BQ14=$BM$11,"1"+AR13,IF(BQ14=$BN$11,"0"+AR13,IF(BQ14=$BO$11,"0"+AR13,IF(BQ14=$BP$11,"0"+AR13,"0"+AR13))))))</f>
        <v>0</v>
      </c>
      <c r="AT14" s="38" t="str">
        <f>CONCATENATE($AU$11&amp;B14)</f>
        <v>W3</v>
      </c>
      <c r="AU14" s="38">
        <f>SUMIF($AY$13:$AY$46,AT14,$BD$13:$BD$46)</f>
        <v>0</v>
      </c>
      <c r="AY14" s="38" t="str">
        <f t="shared" ref="AY14:AY46" si="1">CONCATENATE(AJ14&amp;AL14)</f>
        <v>W6</v>
      </c>
      <c r="AZ14" s="38" t="str">
        <f t="shared" ref="AZ14:AZ46" si="2">IF(AE14=$AW$11,"2","0")</f>
        <v>0</v>
      </c>
      <c r="BA14" s="38" t="str">
        <f t="shared" ref="BA14:BA46" si="3">IF(AG14=$AW$11,"1","0")</f>
        <v>1</v>
      </c>
      <c r="BB14" s="38" t="str">
        <f t="shared" ref="BB14:BB46" si="4">IF(AF14=$AW$11,"1","0")</f>
        <v>0</v>
      </c>
      <c r="BC14" s="38">
        <f t="shared" ref="BC14:BC46" si="5">AZ14+BA14</f>
        <v>1</v>
      </c>
      <c r="BD14" s="38">
        <f t="shared" ref="BD14:BD46" si="6">BB14+0</f>
        <v>0</v>
      </c>
      <c r="BL14" s="38" t="str">
        <f t="shared" ref="BL14:BL46" si="7">IF(AE14="","",CONCATENATE($BL$12&amp;AJ14&amp;AE14))</f>
        <v/>
      </c>
      <c r="BM14" s="38" t="str">
        <f t="shared" ref="BM14:BM46" si="8">IF(AG14="","",CONCATENATE($BM$12&amp;AJ14&amp;AG14))</f>
        <v>dWX</v>
      </c>
      <c r="BN14" s="38" t="str">
        <f t="shared" ref="BN14:BN46" si="9">IF(AF14="","",CONCATENATE($BN$12&amp;AJ14,AF14))</f>
        <v/>
      </c>
      <c r="BO14" s="38" t="str">
        <f t="shared" ref="BO14:BO46" si="10">IF(AH14="","",CONCATENATE($BO$12&amp;AJ14&amp;AH14))</f>
        <v/>
      </c>
      <c r="BP14" s="38" t="str">
        <f t="shared" ref="BP14:BP46" si="11">IF(AI14="","",CONCATENATE($BP$12&amp;AJ14&amp;AI14))</f>
        <v/>
      </c>
      <c r="BQ14" s="38" t="str">
        <f t="shared" ref="BQ14:BQ46" si="12">CONCATENATE(BL14&amp;BM14&amp;BN14&amp;BO14&amp;BP14)</f>
        <v>dWX</v>
      </c>
    </row>
    <row r="15" spans="1:256" ht="15.6" x14ac:dyDescent="0.3">
      <c r="A15" s="120" t="s">
        <v>265</v>
      </c>
      <c r="B15" s="397">
        <f>IF(ISBLANK(HLOOKUP($F$10,spelerslijsten!$B$1:$J$22,6,FALSE)),"",HLOOKUP($F$10,spelerslijsten!$B$1:$J$22,6,FALSE))</f>
        <v>4</v>
      </c>
      <c r="C15" s="398"/>
      <c r="D15" s="121"/>
      <c r="E15" s="122" t="str">
        <f>IF(ISBLANK(HLOOKUP($F$10,spelerslijsten!$B$1:$J$22,5,FALSE)),"",HLOOKUP($F$10,spelerslijsten!$B$1:$J$22,5,FALSE))</f>
        <v>Wesley van Eldijk</v>
      </c>
      <c r="F15" s="123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08">
        <f t="shared" si="0"/>
        <v>3</v>
      </c>
      <c r="W15" s="109" t="str">
        <f t="shared" ref="W15:W23" si="13">IF(AU15&gt;0,"x","")</f>
        <v/>
      </c>
      <c r="X15" s="110" t="str">
        <f t="shared" ref="X15:X23" si="14">IF(AU15&gt;1,"x","")</f>
        <v/>
      </c>
      <c r="Y15" s="103" t="str">
        <f t="shared" ref="Y15:Y23" si="15">IF(AU15&gt;2,"x","")</f>
        <v/>
      </c>
      <c r="Z15" s="111"/>
      <c r="AA15" s="112">
        <v>4</v>
      </c>
      <c r="AB15" s="113" t="str">
        <f t="shared" ref="AB15:AB44" si="16">+AB14</f>
        <v>-</v>
      </c>
      <c r="AC15" s="112">
        <v>1</v>
      </c>
      <c r="AD15" s="114">
        <v>1</v>
      </c>
      <c r="AE15" s="115"/>
      <c r="AF15" s="115"/>
      <c r="AG15" s="116" t="s">
        <v>265</v>
      </c>
      <c r="AH15" s="117"/>
      <c r="AI15" s="117"/>
      <c r="AJ15" s="342" t="s">
        <v>17</v>
      </c>
      <c r="AK15" s="343"/>
      <c r="AL15" s="346">
        <v>7</v>
      </c>
      <c r="AM15" s="347"/>
      <c r="AN15" s="118"/>
      <c r="AO15" s="101">
        <f>IF(BQ15="","",IF(BQ15=$BL$10,"2"+AO14,IF(BQ15=$BM$10,"1"+AO14,IF(BQ15=$BN$10,"0"+AO14,IF(BQ15=$BO$10,"0"+AO14,IF(BQ15=$BP$10,"0"+AO14,"0"+AO14))))))</f>
        <v>3</v>
      </c>
      <c r="AP15" s="113" t="str">
        <f>+AP14</f>
        <v>-</v>
      </c>
      <c r="AQ15" s="119"/>
      <c r="AR15" s="103">
        <f>IF(BQ15="","",IF(BQ15=$BL$11,"2"+AR14,IF(BQ15=$BM$11,"1"+AR14,IF(BQ15=$BN$11,"0"+AR14,IF(BQ15=$BO$11,"0"+AR14,IF(BQ15=$BP$11,"0"+AR14,"0"+AR14))))))</f>
        <v>0</v>
      </c>
      <c r="AT15" s="38" t="str">
        <f t="shared" ref="AT15:AT23" si="17">CONCATENATE($AU$11&amp;B15)</f>
        <v>W4</v>
      </c>
      <c r="AU15" s="38">
        <f t="shared" ref="AU15:AU39" si="18">SUMIF($AY$13:$AY$46,AT15,$BD$13:$BD$46)</f>
        <v>0</v>
      </c>
      <c r="AY15" s="38" t="str">
        <f t="shared" si="1"/>
        <v>W7</v>
      </c>
      <c r="AZ15" s="38" t="str">
        <f t="shared" si="2"/>
        <v>0</v>
      </c>
      <c r="BA15" s="38" t="str">
        <f t="shared" si="3"/>
        <v>1</v>
      </c>
      <c r="BB15" s="38" t="str">
        <f t="shared" si="4"/>
        <v>0</v>
      </c>
      <c r="BC15" s="38">
        <f t="shared" si="5"/>
        <v>1</v>
      </c>
      <c r="BD15" s="38">
        <f t="shared" si="6"/>
        <v>0</v>
      </c>
      <c r="BL15" s="38" t="str">
        <f t="shared" si="7"/>
        <v/>
      </c>
      <c r="BM15" s="38" t="str">
        <f t="shared" si="8"/>
        <v>dWX</v>
      </c>
      <c r="BN15" s="38" t="str">
        <f t="shared" si="9"/>
        <v/>
      </c>
      <c r="BO15" s="38" t="str">
        <f t="shared" si="10"/>
        <v/>
      </c>
      <c r="BP15" s="38" t="str">
        <f t="shared" si="11"/>
        <v/>
      </c>
      <c r="BQ15" s="38" t="str">
        <f t="shared" si="12"/>
        <v>dWX</v>
      </c>
    </row>
    <row r="16" spans="1:256" ht="15.6" x14ac:dyDescent="0.3">
      <c r="A16" s="124" t="s">
        <v>265</v>
      </c>
      <c r="B16" s="397">
        <f>IF(ISBLANK(HLOOKUP($F$10,spelerslijsten!$B$1:$J$22,8,FALSE)),"",HLOOKUP($F$10,spelerslijsten!$B$1:$J$22,8,FALSE))</f>
        <v>5</v>
      </c>
      <c r="C16" s="398"/>
      <c r="D16" s="121"/>
      <c r="E16" s="122" t="str">
        <f>IF(ISBLANK(HLOOKUP($F$10,spelerslijsten!$B$1:$J$22,7,FALSE)),"",HLOOKUP($F$10,spelerslijsten!$B$1:$J$22,7,FALSE))</f>
        <v>Jurriaan Rijnaars</v>
      </c>
      <c r="F16" s="12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08">
        <f t="shared" si="0"/>
        <v>0</v>
      </c>
      <c r="W16" s="109" t="str">
        <f t="shared" si="13"/>
        <v/>
      </c>
      <c r="X16" s="110" t="str">
        <f t="shared" si="14"/>
        <v/>
      </c>
      <c r="Y16" s="103" t="str">
        <f t="shared" si="15"/>
        <v/>
      </c>
      <c r="Z16" s="111"/>
      <c r="AA16" s="112">
        <v>5</v>
      </c>
      <c r="AB16" s="113" t="str">
        <f t="shared" si="16"/>
        <v>-</v>
      </c>
      <c r="AC16" s="112">
        <v>4</v>
      </c>
      <c r="AD16" s="114">
        <v>5</v>
      </c>
      <c r="AE16" s="115"/>
      <c r="AF16" s="115"/>
      <c r="AG16" s="116" t="s">
        <v>265</v>
      </c>
      <c r="AH16" s="117"/>
      <c r="AI16" s="117"/>
      <c r="AJ16" s="342" t="s">
        <v>17</v>
      </c>
      <c r="AK16" s="343"/>
      <c r="AL16" s="346">
        <v>4</v>
      </c>
      <c r="AM16" s="347"/>
      <c r="AN16" s="118"/>
      <c r="AO16" s="101">
        <f t="shared" ref="AO16:AO46" si="19">IF(BQ16="","",IF(BQ16=$BL$10,"2"+AO15,IF(BQ16=$BM$10,"1"+AO15,IF(BQ16=$BN$10,"0"+AO15,IF(BQ16=$BO$10,"0"+AO15,IF(BQ16=$BP$10,"0"+AO15,"0"+AO15))))))</f>
        <v>4</v>
      </c>
      <c r="AP16" s="113" t="str">
        <f t="shared" ref="AP16:AP46" si="20">+AP15</f>
        <v>-</v>
      </c>
      <c r="AQ16" s="119"/>
      <c r="AR16" s="103">
        <f t="shared" ref="AR16:AR46" si="21">IF(BQ16="","",IF(BQ16=$BL$11,"2"+AR15,IF(BQ16=$BM$11,"1"+AR15,IF(BQ16=$BN$11,"0"+AR15,IF(BQ16=$BO$11,"0"+AR15,IF(BQ16=$BP$11,"0"+AR15,"0"+AR15))))))</f>
        <v>0</v>
      </c>
      <c r="AT16" s="38" t="str">
        <f t="shared" si="17"/>
        <v>W5</v>
      </c>
      <c r="AU16" s="38">
        <f t="shared" si="18"/>
        <v>0</v>
      </c>
      <c r="AY16" s="38" t="str">
        <f t="shared" si="1"/>
        <v>W4</v>
      </c>
      <c r="AZ16" s="38" t="str">
        <f t="shared" si="2"/>
        <v>0</v>
      </c>
      <c r="BA16" s="38" t="str">
        <f t="shared" si="3"/>
        <v>1</v>
      </c>
      <c r="BB16" s="38" t="str">
        <f t="shared" si="4"/>
        <v>0</v>
      </c>
      <c r="BC16" s="38">
        <f t="shared" si="5"/>
        <v>1</v>
      </c>
      <c r="BD16" s="38">
        <f t="shared" si="6"/>
        <v>0</v>
      </c>
      <c r="BL16" s="38" t="str">
        <f t="shared" si="7"/>
        <v/>
      </c>
      <c r="BM16" s="38" t="str">
        <f t="shared" si="8"/>
        <v>dWX</v>
      </c>
      <c r="BN16" s="38" t="str">
        <f t="shared" si="9"/>
        <v/>
      </c>
      <c r="BO16" s="38" t="str">
        <f t="shared" si="10"/>
        <v/>
      </c>
      <c r="BP16" s="38" t="str">
        <f t="shared" si="11"/>
        <v/>
      </c>
      <c r="BQ16" s="38" t="str">
        <f t="shared" si="12"/>
        <v>dWX</v>
      </c>
    </row>
    <row r="17" spans="1:69" ht="15.6" x14ac:dyDescent="0.3">
      <c r="A17" s="124" t="s">
        <v>265</v>
      </c>
      <c r="B17" s="397">
        <f>IF(ISBLANK(HLOOKUP($F$10,spelerslijsten!$B$1:$J$22,10,FALSE)),"",HLOOKUP($F$10,spelerslijsten!$B$1:$J$22,10,FALSE))</f>
        <v>6</v>
      </c>
      <c r="C17" s="398"/>
      <c r="D17" s="121"/>
      <c r="E17" s="122" t="str">
        <f>IF(ISBLANK(HLOOKUP($F$10,spelerslijsten!$B$1:$J$22,9,FALSE)),"",HLOOKUP($F$10,spelerslijsten!$B$1:$J$22,9,FALSE))</f>
        <v>Lucas van Osch</v>
      </c>
      <c r="F17" s="12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08">
        <f t="shared" si="0"/>
        <v>1</v>
      </c>
      <c r="W17" s="109" t="str">
        <f t="shared" si="13"/>
        <v/>
      </c>
      <c r="X17" s="110" t="str">
        <f t="shared" si="14"/>
        <v/>
      </c>
      <c r="Y17" s="103" t="str">
        <f t="shared" si="15"/>
        <v/>
      </c>
      <c r="Z17" s="111"/>
      <c r="AA17" s="112">
        <v>8</v>
      </c>
      <c r="AB17" s="113" t="str">
        <f t="shared" si="16"/>
        <v>-</v>
      </c>
      <c r="AC17" s="112">
        <v>3</v>
      </c>
      <c r="AD17" s="114">
        <v>2</v>
      </c>
      <c r="AE17" s="115"/>
      <c r="AF17" s="115"/>
      <c r="AG17" s="116" t="s">
        <v>265</v>
      </c>
      <c r="AH17" s="117"/>
      <c r="AI17" s="117"/>
      <c r="AJ17" s="342" t="s">
        <v>18</v>
      </c>
      <c r="AK17" s="343"/>
      <c r="AL17" s="346">
        <v>3</v>
      </c>
      <c r="AM17" s="347"/>
      <c r="AN17" s="118"/>
      <c r="AO17" s="101">
        <f t="shared" si="19"/>
        <v>4</v>
      </c>
      <c r="AP17" s="113" t="str">
        <f t="shared" si="20"/>
        <v>-</v>
      </c>
      <c r="AQ17" s="119"/>
      <c r="AR17" s="103">
        <f t="shared" si="21"/>
        <v>1</v>
      </c>
      <c r="AT17" s="38" t="str">
        <f t="shared" si="17"/>
        <v>W6</v>
      </c>
      <c r="AU17" s="38">
        <f t="shared" si="18"/>
        <v>0</v>
      </c>
      <c r="AY17" s="38" t="str">
        <f t="shared" si="1"/>
        <v>B3</v>
      </c>
      <c r="AZ17" s="38" t="str">
        <f t="shared" si="2"/>
        <v>0</v>
      </c>
      <c r="BA17" s="38" t="str">
        <f t="shared" si="3"/>
        <v>1</v>
      </c>
      <c r="BB17" s="38" t="str">
        <f t="shared" si="4"/>
        <v>0</v>
      </c>
      <c r="BC17" s="38">
        <f t="shared" si="5"/>
        <v>1</v>
      </c>
      <c r="BD17" s="38">
        <f t="shared" si="6"/>
        <v>0</v>
      </c>
      <c r="BL17" s="38" t="str">
        <f t="shared" si="7"/>
        <v/>
      </c>
      <c r="BM17" s="38" t="str">
        <f t="shared" si="8"/>
        <v>dBX</v>
      </c>
      <c r="BN17" s="38" t="str">
        <f t="shared" si="9"/>
        <v/>
      </c>
      <c r="BO17" s="38" t="str">
        <f t="shared" si="10"/>
        <v/>
      </c>
      <c r="BP17" s="38" t="str">
        <f t="shared" si="11"/>
        <v/>
      </c>
      <c r="BQ17" s="38" t="str">
        <f t="shared" si="12"/>
        <v>dBX</v>
      </c>
    </row>
    <row r="18" spans="1:69" ht="15.6" x14ac:dyDescent="0.3">
      <c r="A18" s="124" t="s">
        <v>265</v>
      </c>
      <c r="B18" s="397">
        <f>IF(ISBLANK(HLOOKUP($F$10,spelerslijsten!$B$1:$J$22,12,FALSE)),"",HLOOKUP($F$10,spelerslijsten!$B$1:$J$22,12,FALSE))</f>
        <v>7</v>
      </c>
      <c r="C18" s="398"/>
      <c r="D18" s="121"/>
      <c r="E18" s="122" t="str">
        <f>IF(ISBLANK(HLOOKUP($F$10,spelerslijsten!$B$1:$J$22,11,FALSE)),"",HLOOKUP($F$10,spelerslijsten!$B$1:$J$22,11,FALSE))</f>
        <v>Helmi van Hirtum</v>
      </c>
      <c r="F18" s="12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08">
        <f t="shared" si="0"/>
        <v>2</v>
      </c>
      <c r="W18" s="109" t="str">
        <f t="shared" si="13"/>
        <v/>
      </c>
      <c r="X18" s="110" t="str">
        <f t="shared" si="14"/>
        <v/>
      </c>
      <c r="Y18" s="103" t="str">
        <f t="shared" si="15"/>
        <v/>
      </c>
      <c r="Z18" s="111">
        <v>1</v>
      </c>
      <c r="AA18" s="112">
        <v>1</v>
      </c>
      <c r="AB18" s="113" t="s">
        <v>16</v>
      </c>
      <c r="AC18" s="112">
        <v>1</v>
      </c>
      <c r="AD18" s="114">
        <v>7</v>
      </c>
      <c r="AE18" s="115"/>
      <c r="AF18" s="115"/>
      <c r="AG18" s="116" t="s">
        <v>265</v>
      </c>
      <c r="AH18" s="117"/>
      <c r="AI18" s="117"/>
      <c r="AJ18" s="342" t="s">
        <v>17</v>
      </c>
      <c r="AK18" s="343"/>
      <c r="AL18" s="346">
        <v>4</v>
      </c>
      <c r="AM18" s="347"/>
      <c r="AN18" s="118"/>
      <c r="AO18" s="101">
        <f t="shared" si="19"/>
        <v>5</v>
      </c>
      <c r="AP18" s="113" t="str">
        <f t="shared" si="20"/>
        <v>-</v>
      </c>
      <c r="AQ18" s="119"/>
      <c r="AR18" s="103">
        <f t="shared" si="21"/>
        <v>1</v>
      </c>
      <c r="AT18" s="38" t="str">
        <f t="shared" si="17"/>
        <v>W7</v>
      </c>
      <c r="AU18" s="38">
        <f t="shared" si="18"/>
        <v>0</v>
      </c>
      <c r="AY18" s="38" t="str">
        <f t="shared" si="1"/>
        <v>W4</v>
      </c>
      <c r="AZ18" s="38" t="str">
        <f t="shared" si="2"/>
        <v>0</v>
      </c>
      <c r="BA18" s="38" t="str">
        <f t="shared" si="3"/>
        <v>1</v>
      </c>
      <c r="BB18" s="38" t="str">
        <f t="shared" si="4"/>
        <v>0</v>
      </c>
      <c r="BC18" s="38">
        <f t="shared" si="5"/>
        <v>1</v>
      </c>
      <c r="BD18" s="38">
        <f t="shared" si="6"/>
        <v>0</v>
      </c>
      <c r="BL18" s="38" t="str">
        <f t="shared" si="7"/>
        <v/>
      </c>
      <c r="BM18" s="38" t="str">
        <f t="shared" si="8"/>
        <v>dWX</v>
      </c>
      <c r="BN18" s="38" t="str">
        <f t="shared" si="9"/>
        <v/>
      </c>
      <c r="BO18" s="38" t="str">
        <f t="shared" si="10"/>
        <v/>
      </c>
      <c r="BP18" s="38" t="str">
        <f t="shared" si="11"/>
        <v/>
      </c>
      <c r="BQ18" s="38" t="str">
        <f t="shared" si="12"/>
        <v>dWX</v>
      </c>
    </row>
    <row r="19" spans="1:69" ht="15.6" x14ac:dyDescent="0.3">
      <c r="A19" s="124" t="s">
        <v>265</v>
      </c>
      <c r="B19" s="397">
        <f>IF(ISBLANK(HLOOKUP($F$10,spelerslijsten!$B$1:$J$22,14,FALSE)),"",HLOOKUP($F$10,spelerslijsten!$B$1:$J$22,14,FALSE))</f>
        <v>8</v>
      </c>
      <c r="C19" s="398"/>
      <c r="D19" s="121"/>
      <c r="E19" s="122" t="str">
        <f>IF(ISBLANK(HLOOKUP($F$10,spelerslijsten!$B$1:$J$22,13,FALSE)),"",HLOOKUP($F$10,spelerslijsten!$B$1:$J$22,13,FALSE))</f>
        <v>Sara van Grinsven</v>
      </c>
      <c r="F19" s="12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08">
        <f t="shared" si="0"/>
        <v>0</v>
      </c>
      <c r="W19" s="109" t="str">
        <f t="shared" si="13"/>
        <v/>
      </c>
      <c r="X19" s="110" t="str">
        <f t="shared" si="14"/>
        <v/>
      </c>
      <c r="Y19" s="103" t="str">
        <f t="shared" si="15"/>
        <v/>
      </c>
      <c r="Z19" s="111">
        <v>1</v>
      </c>
      <c r="AA19" s="112">
        <v>3</v>
      </c>
      <c r="AB19" s="113" t="str">
        <f t="shared" si="16"/>
        <v>-</v>
      </c>
      <c r="AC19" s="112">
        <v>2</v>
      </c>
      <c r="AD19" s="114">
        <v>3</v>
      </c>
      <c r="AE19" s="115"/>
      <c r="AF19" s="115"/>
      <c r="AG19" s="116" t="s">
        <v>265</v>
      </c>
      <c r="AH19" s="117"/>
      <c r="AI19" s="117"/>
      <c r="AJ19" s="342" t="s">
        <v>17</v>
      </c>
      <c r="AK19" s="343"/>
      <c r="AL19" s="346">
        <v>7</v>
      </c>
      <c r="AM19" s="347"/>
      <c r="AN19" s="118"/>
      <c r="AO19" s="101">
        <f t="shared" si="19"/>
        <v>6</v>
      </c>
      <c r="AP19" s="113" t="str">
        <f t="shared" si="20"/>
        <v>-</v>
      </c>
      <c r="AQ19" s="119"/>
      <c r="AR19" s="103">
        <f t="shared" si="21"/>
        <v>1</v>
      </c>
      <c r="AT19" s="38" t="str">
        <f t="shared" si="17"/>
        <v>W8</v>
      </c>
      <c r="AU19" s="38">
        <f t="shared" si="18"/>
        <v>0</v>
      </c>
      <c r="AY19" s="38" t="str">
        <f t="shared" si="1"/>
        <v>W7</v>
      </c>
      <c r="AZ19" s="38" t="str">
        <f t="shared" si="2"/>
        <v>0</v>
      </c>
      <c r="BA19" s="38" t="str">
        <f t="shared" si="3"/>
        <v>1</v>
      </c>
      <c r="BB19" s="38" t="str">
        <f t="shared" si="4"/>
        <v>0</v>
      </c>
      <c r="BC19" s="38">
        <f t="shared" si="5"/>
        <v>1</v>
      </c>
      <c r="BD19" s="38">
        <f t="shared" si="6"/>
        <v>0</v>
      </c>
      <c r="BL19" s="38" t="str">
        <f t="shared" si="7"/>
        <v/>
      </c>
      <c r="BM19" s="38" t="str">
        <f t="shared" si="8"/>
        <v>dWX</v>
      </c>
      <c r="BN19" s="38" t="str">
        <f t="shared" si="9"/>
        <v/>
      </c>
      <c r="BO19" s="38" t="str">
        <f t="shared" si="10"/>
        <v/>
      </c>
      <c r="BP19" s="38" t="str">
        <f t="shared" si="11"/>
        <v/>
      </c>
      <c r="BQ19" s="38" t="str">
        <f t="shared" si="12"/>
        <v>dWX</v>
      </c>
    </row>
    <row r="20" spans="1:69" ht="15.6" x14ac:dyDescent="0.3">
      <c r="A20" s="124" t="s">
        <v>265</v>
      </c>
      <c r="B20" s="397">
        <f>IF(ISBLANK(HLOOKUP($F$10,spelerslijsten!$B$1:$J$22,16,FALSE)),"",HLOOKUP($F$10,spelerslijsten!$B$1:$J$22,16,FALSE))</f>
        <v>9</v>
      </c>
      <c r="C20" s="398"/>
      <c r="D20" s="121"/>
      <c r="E20" s="122" t="str">
        <f>IF(ISBLANK(HLOOKUP($F$10,spelerslijsten!$B$1:$J$22,15,FALSE)),"",HLOOKUP($F$10,spelerslijsten!$B$1:$J$22,15,FALSE))</f>
        <v>Robby van Gruythuysen</v>
      </c>
      <c r="F20" s="12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08">
        <f t="shared" si="0"/>
        <v>0</v>
      </c>
      <c r="W20" s="109" t="str">
        <f t="shared" si="13"/>
        <v/>
      </c>
      <c r="X20" s="110" t="str">
        <f t="shared" si="14"/>
        <v/>
      </c>
      <c r="Y20" s="103" t="str">
        <f t="shared" si="15"/>
        <v/>
      </c>
      <c r="Z20" s="111"/>
      <c r="AA20" s="112"/>
      <c r="AB20" s="113" t="str">
        <f t="shared" si="16"/>
        <v>-</v>
      </c>
      <c r="AC20" s="112"/>
      <c r="AD20" s="114"/>
      <c r="AE20" s="115"/>
      <c r="AF20" s="115"/>
      <c r="AG20" s="116"/>
      <c r="AH20" s="117"/>
      <c r="AI20" s="117"/>
      <c r="AJ20" s="342"/>
      <c r="AK20" s="343"/>
      <c r="AL20" s="346"/>
      <c r="AM20" s="347"/>
      <c r="AN20" s="118"/>
      <c r="AO20" s="101" t="str">
        <f t="shared" si="19"/>
        <v/>
      </c>
      <c r="AP20" s="113" t="str">
        <f t="shared" si="20"/>
        <v>-</v>
      </c>
      <c r="AQ20" s="119"/>
      <c r="AR20" s="103" t="str">
        <f t="shared" si="21"/>
        <v/>
      </c>
      <c r="AT20" s="38" t="str">
        <f t="shared" si="17"/>
        <v>W9</v>
      </c>
      <c r="AU20" s="38">
        <f t="shared" si="18"/>
        <v>0</v>
      </c>
      <c r="AY20" s="38" t="str">
        <f t="shared" si="1"/>
        <v/>
      </c>
      <c r="AZ20" s="38" t="str">
        <f t="shared" si="2"/>
        <v>0</v>
      </c>
      <c r="BA20" s="38" t="str">
        <f t="shared" si="3"/>
        <v>0</v>
      </c>
      <c r="BB20" s="38" t="str">
        <f t="shared" si="4"/>
        <v>0</v>
      </c>
      <c r="BC20" s="38">
        <f t="shared" si="5"/>
        <v>0</v>
      </c>
      <c r="BD20" s="38">
        <f t="shared" si="6"/>
        <v>0</v>
      </c>
      <c r="BL20" s="38" t="str">
        <f t="shared" si="7"/>
        <v/>
      </c>
      <c r="BM20" s="38" t="str">
        <f t="shared" si="8"/>
        <v/>
      </c>
      <c r="BN20" s="38" t="str">
        <f t="shared" si="9"/>
        <v/>
      </c>
      <c r="BO20" s="38" t="str">
        <f t="shared" si="10"/>
        <v/>
      </c>
      <c r="BP20" s="38" t="str">
        <f t="shared" si="11"/>
        <v/>
      </c>
      <c r="BQ20" s="38" t="str">
        <f t="shared" si="12"/>
        <v/>
      </c>
    </row>
    <row r="21" spans="1:69" ht="15.6" x14ac:dyDescent="0.3">
      <c r="A21" s="124"/>
      <c r="B21" s="397">
        <f>IF(ISBLANK(HLOOKUP($F$10,spelerslijsten!$B$1:$J$22,18,FALSE)),"",HLOOKUP($F$10,spelerslijsten!$B$1:$J$22,18,FALSE))</f>
        <v>10</v>
      </c>
      <c r="C21" s="398"/>
      <c r="D21" s="121"/>
      <c r="E21" s="122" t="str">
        <f>IF(ISBLANK(HLOOKUP($F$10,spelerslijsten!$B$1:$J$22,17,FALSE)),"",HLOOKUP($F$10,spelerslijsten!$B$1:$J$22,17,FALSE))</f>
        <v>Peter Schwering</v>
      </c>
      <c r="F21" s="12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08">
        <f>SUMIF($AY$13:$AY$46,AT21,$BC$13:$BC$46)</f>
        <v>0</v>
      </c>
      <c r="W21" s="109" t="str">
        <f t="shared" si="13"/>
        <v/>
      </c>
      <c r="X21" s="110" t="str">
        <f t="shared" si="14"/>
        <v/>
      </c>
      <c r="Y21" s="103" t="str">
        <f t="shared" si="15"/>
        <v/>
      </c>
      <c r="Z21" s="111"/>
      <c r="AA21" s="112"/>
      <c r="AB21" s="113" t="str">
        <f t="shared" si="16"/>
        <v>-</v>
      </c>
      <c r="AC21" s="112"/>
      <c r="AD21" s="114"/>
      <c r="AE21" s="115"/>
      <c r="AF21" s="115"/>
      <c r="AG21" s="116"/>
      <c r="AH21" s="117"/>
      <c r="AI21" s="117"/>
      <c r="AJ21" s="342"/>
      <c r="AK21" s="343"/>
      <c r="AL21" s="346"/>
      <c r="AM21" s="347"/>
      <c r="AN21" s="118"/>
      <c r="AO21" s="101" t="str">
        <f t="shared" si="19"/>
        <v/>
      </c>
      <c r="AP21" s="113" t="str">
        <f t="shared" si="20"/>
        <v>-</v>
      </c>
      <c r="AQ21" s="119"/>
      <c r="AR21" s="103" t="str">
        <f t="shared" si="21"/>
        <v/>
      </c>
      <c r="AT21" s="38" t="str">
        <f t="shared" si="17"/>
        <v>W10</v>
      </c>
      <c r="AU21" s="38">
        <f t="shared" si="18"/>
        <v>0</v>
      </c>
      <c r="AY21" s="38" t="str">
        <f t="shared" si="1"/>
        <v/>
      </c>
      <c r="AZ21" s="38" t="str">
        <f t="shared" si="2"/>
        <v>0</v>
      </c>
      <c r="BA21" s="38" t="str">
        <f t="shared" si="3"/>
        <v>0</v>
      </c>
      <c r="BB21" s="38" t="str">
        <f t="shared" si="4"/>
        <v>0</v>
      </c>
      <c r="BC21" s="38">
        <f t="shared" si="5"/>
        <v>0</v>
      </c>
      <c r="BD21" s="38">
        <f t="shared" si="6"/>
        <v>0</v>
      </c>
      <c r="BL21" s="38" t="str">
        <f t="shared" si="7"/>
        <v/>
      </c>
      <c r="BM21" s="38" t="str">
        <f t="shared" si="8"/>
        <v/>
      </c>
      <c r="BN21" s="38" t="str">
        <f t="shared" si="9"/>
        <v/>
      </c>
      <c r="BO21" s="38" t="str">
        <f t="shared" si="10"/>
        <v/>
      </c>
      <c r="BP21" s="38" t="str">
        <f t="shared" si="11"/>
        <v/>
      </c>
      <c r="BQ21" s="38" t="str">
        <f t="shared" si="12"/>
        <v/>
      </c>
    </row>
    <row r="22" spans="1:69" ht="15.6" x14ac:dyDescent="0.3">
      <c r="A22" s="124"/>
      <c r="B22" s="397">
        <f>IF(ISBLANK(HLOOKUP($F$10,spelerslijsten!$B$1:$J$22,20,FALSE)),"",HLOOKUP($F$10,spelerslijsten!$B$1:$J$22,20,FALSE))</f>
        <v>11</v>
      </c>
      <c r="C22" s="398"/>
      <c r="D22" s="121"/>
      <c r="E22" s="122" t="str">
        <f>IF(ISBLANK(HLOOKUP($F$10,spelerslijsten!$B$1:$J$22,19,FALSE)),"",HLOOKUP($F$10,spelerslijsten!$B$1:$J$22,19,FALSE))</f>
        <v>Stefan Hermens</v>
      </c>
      <c r="F22" s="12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08">
        <f t="shared" ref="V22:V23" si="22">SUMIF($AY$13:$AY$46,AT22,$BC$13:$BC$46)</f>
        <v>0</v>
      </c>
      <c r="W22" s="109" t="str">
        <f t="shared" si="13"/>
        <v/>
      </c>
      <c r="X22" s="110" t="str">
        <f t="shared" si="14"/>
        <v/>
      </c>
      <c r="Y22" s="103" t="str">
        <f t="shared" si="15"/>
        <v/>
      </c>
      <c r="Z22" s="111"/>
      <c r="AA22" s="112"/>
      <c r="AB22" s="113" t="str">
        <f t="shared" si="16"/>
        <v>-</v>
      </c>
      <c r="AC22" s="112"/>
      <c r="AD22" s="114"/>
      <c r="AE22" s="115"/>
      <c r="AF22" s="115"/>
      <c r="AG22" s="116"/>
      <c r="AH22" s="117"/>
      <c r="AI22" s="117"/>
      <c r="AJ22" s="342"/>
      <c r="AK22" s="343"/>
      <c r="AL22" s="346"/>
      <c r="AM22" s="347"/>
      <c r="AN22" s="118"/>
      <c r="AO22" s="101" t="str">
        <f t="shared" si="19"/>
        <v/>
      </c>
      <c r="AP22" s="113" t="str">
        <f t="shared" si="20"/>
        <v>-</v>
      </c>
      <c r="AQ22" s="119"/>
      <c r="AR22" s="103" t="str">
        <f t="shared" si="21"/>
        <v/>
      </c>
      <c r="AT22" s="38" t="str">
        <f t="shared" si="17"/>
        <v>W11</v>
      </c>
      <c r="AU22" s="38">
        <f t="shared" si="18"/>
        <v>0</v>
      </c>
      <c r="AY22" s="38" t="str">
        <f t="shared" si="1"/>
        <v/>
      </c>
      <c r="AZ22" s="38" t="str">
        <f t="shared" si="2"/>
        <v>0</v>
      </c>
      <c r="BA22" s="38" t="str">
        <f t="shared" si="3"/>
        <v>0</v>
      </c>
      <c r="BB22" s="38" t="str">
        <f t="shared" si="4"/>
        <v>0</v>
      </c>
      <c r="BC22" s="38">
        <f t="shared" si="5"/>
        <v>0</v>
      </c>
      <c r="BD22" s="38">
        <f t="shared" si="6"/>
        <v>0</v>
      </c>
      <c r="BL22" s="38" t="str">
        <f t="shared" si="7"/>
        <v/>
      </c>
      <c r="BM22" s="38" t="str">
        <f t="shared" si="8"/>
        <v/>
      </c>
      <c r="BN22" s="38" t="str">
        <f t="shared" si="9"/>
        <v/>
      </c>
      <c r="BO22" s="38" t="str">
        <f t="shared" si="10"/>
        <v/>
      </c>
      <c r="BP22" s="38" t="str">
        <f t="shared" si="11"/>
        <v/>
      </c>
      <c r="BQ22" s="38" t="str">
        <f t="shared" si="12"/>
        <v/>
      </c>
    </row>
    <row r="23" spans="1:69" ht="15.6" x14ac:dyDescent="0.3">
      <c r="A23" s="125"/>
      <c r="B23" s="397" t="str">
        <f>IF(ISBLANK(HLOOKUP($F$10,spelerslijsten!$B$1:$J$22,22,FALSE)),"",HLOOKUP($F$10,spelerslijsten!$B$1:$J$22,22,FALSE))</f>
        <v/>
      </c>
      <c r="C23" s="398"/>
      <c r="D23" s="126"/>
      <c r="E23" s="259" t="str">
        <f>IF(ISBLANK(HLOOKUP($F$10,spelerslijsten!$B$1:$J$22,21,FALSE)),"",HLOOKUP($F$10,spelerslijsten!$B$1:$J$22,21,FALSE))</f>
        <v/>
      </c>
      <c r="F23" s="126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08">
        <f t="shared" si="22"/>
        <v>0</v>
      </c>
      <c r="W23" s="109" t="str">
        <f t="shared" si="13"/>
        <v/>
      </c>
      <c r="X23" s="110" t="str">
        <f t="shared" si="14"/>
        <v/>
      </c>
      <c r="Y23" s="103" t="str">
        <f t="shared" si="15"/>
        <v/>
      </c>
      <c r="Z23" s="111"/>
      <c r="AA23" s="112"/>
      <c r="AB23" s="113" t="str">
        <f t="shared" si="16"/>
        <v>-</v>
      </c>
      <c r="AC23" s="112"/>
      <c r="AD23" s="114"/>
      <c r="AE23" s="115"/>
      <c r="AF23" s="115"/>
      <c r="AG23" s="116"/>
      <c r="AH23" s="117"/>
      <c r="AI23" s="117"/>
      <c r="AJ23" s="342"/>
      <c r="AK23" s="343"/>
      <c r="AL23" s="346"/>
      <c r="AM23" s="347"/>
      <c r="AN23" s="118"/>
      <c r="AO23" s="101" t="str">
        <f t="shared" si="19"/>
        <v/>
      </c>
      <c r="AP23" s="113" t="str">
        <f t="shared" si="20"/>
        <v>-</v>
      </c>
      <c r="AQ23" s="119"/>
      <c r="AR23" s="103" t="str">
        <f t="shared" si="21"/>
        <v/>
      </c>
      <c r="AT23" s="38" t="str">
        <f t="shared" si="17"/>
        <v>W</v>
      </c>
      <c r="AU23" s="38">
        <f t="shared" si="18"/>
        <v>0</v>
      </c>
      <c r="AY23" s="38" t="str">
        <f t="shared" si="1"/>
        <v/>
      </c>
      <c r="AZ23" s="38" t="str">
        <f t="shared" si="2"/>
        <v>0</v>
      </c>
      <c r="BA23" s="38" t="str">
        <f t="shared" si="3"/>
        <v>0</v>
      </c>
      <c r="BB23" s="38" t="str">
        <f t="shared" si="4"/>
        <v>0</v>
      </c>
      <c r="BC23" s="38">
        <f t="shared" si="5"/>
        <v>0</v>
      </c>
      <c r="BD23" s="38">
        <f t="shared" si="6"/>
        <v>0</v>
      </c>
      <c r="BL23" s="38" t="str">
        <f t="shared" si="7"/>
        <v/>
      </c>
      <c r="BM23" s="38" t="str">
        <f t="shared" si="8"/>
        <v/>
      </c>
      <c r="BN23" s="38" t="str">
        <f t="shared" si="9"/>
        <v/>
      </c>
      <c r="BO23" s="38" t="str">
        <f t="shared" si="10"/>
        <v/>
      </c>
      <c r="BP23" s="38" t="str">
        <f t="shared" si="11"/>
        <v/>
      </c>
      <c r="BQ23" s="38" t="str">
        <f t="shared" si="12"/>
        <v/>
      </c>
    </row>
    <row r="24" spans="1:69" ht="16.2" thickBot="1" x14ac:dyDescent="0.35">
      <c r="A24" s="71" t="s">
        <v>67</v>
      </c>
      <c r="B24" s="72"/>
      <c r="C24" s="72"/>
      <c r="D24" s="72"/>
      <c r="E24" s="72"/>
      <c r="F24" s="72"/>
      <c r="G24" s="72"/>
      <c r="I24" s="399">
        <f>HLOOKUP(F10,spelerslijsten!B1:J25,25,FALSE)</f>
        <v>5</v>
      </c>
      <c r="J24" s="400"/>
      <c r="K24" s="74" t="s">
        <v>23</v>
      </c>
      <c r="L24" s="72"/>
      <c r="M24" s="72"/>
      <c r="N24" s="129" t="str">
        <f>HLOOKUP(F10,spelerslijsten!B1:J25,23,FALSE)</f>
        <v>Luuk Muskens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30"/>
      <c r="Z24" s="131"/>
      <c r="AA24" s="132"/>
      <c r="AB24" s="133" t="str">
        <f t="shared" si="16"/>
        <v>-</v>
      </c>
      <c r="AC24" s="132"/>
      <c r="AD24" s="134"/>
      <c r="AE24" s="135"/>
      <c r="AF24" s="135"/>
      <c r="AG24" s="136"/>
      <c r="AH24" s="137"/>
      <c r="AI24" s="137"/>
      <c r="AJ24" s="342"/>
      <c r="AK24" s="343"/>
      <c r="AL24" s="350"/>
      <c r="AM24" s="351"/>
      <c r="AN24" s="138"/>
      <c r="AO24" s="101" t="str">
        <f t="shared" si="19"/>
        <v/>
      </c>
      <c r="AP24" s="113" t="str">
        <f t="shared" si="20"/>
        <v>-</v>
      </c>
      <c r="AQ24" s="119"/>
      <c r="AR24" s="103" t="str">
        <f t="shared" si="21"/>
        <v/>
      </c>
      <c r="AY24" s="38" t="str">
        <f t="shared" si="1"/>
        <v/>
      </c>
      <c r="AZ24" s="38" t="str">
        <f t="shared" si="2"/>
        <v>0</v>
      </c>
      <c r="BA24" s="38" t="str">
        <f t="shared" si="3"/>
        <v>0</v>
      </c>
      <c r="BB24" s="38" t="str">
        <f t="shared" si="4"/>
        <v>0</v>
      </c>
      <c r="BC24" s="38">
        <f t="shared" si="5"/>
        <v>0</v>
      </c>
      <c r="BD24" s="38">
        <f t="shared" si="6"/>
        <v>0</v>
      </c>
      <c r="BL24" s="38" t="str">
        <f t="shared" si="7"/>
        <v/>
      </c>
      <c r="BM24" s="38" t="str">
        <f t="shared" si="8"/>
        <v/>
      </c>
      <c r="BN24" s="38" t="str">
        <f t="shared" si="9"/>
        <v/>
      </c>
      <c r="BO24" s="38" t="str">
        <f t="shared" si="10"/>
        <v/>
      </c>
      <c r="BP24" s="38" t="str">
        <f t="shared" si="11"/>
        <v/>
      </c>
      <c r="BQ24" s="38" t="str">
        <f t="shared" si="12"/>
        <v/>
      </c>
    </row>
    <row r="25" spans="1:69" ht="15" customHeight="1" x14ac:dyDescent="0.3">
      <c r="A25" s="78" t="s">
        <v>60</v>
      </c>
      <c r="B25" s="79"/>
      <c r="C25" s="79"/>
      <c r="D25" s="79"/>
      <c r="E25" s="79"/>
      <c r="F25" s="356" t="str">
        <f>+AC7</f>
        <v>VZ&amp;PC Nautilus 1</v>
      </c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7"/>
      <c r="Z25" s="139"/>
      <c r="AA25" s="140"/>
      <c r="AB25" s="141" t="str">
        <f t="shared" si="16"/>
        <v>-</v>
      </c>
      <c r="AC25" s="140"/>
      <c r="AD25" s="142"/>
      <c r="AE25" s="143"/>
      <c r="AF25" s="143"/>
      <c r="AG25" s="144"/>
      <c r="AH25" s="145"/>
      <c r="AI25" s="145"/>
      <c r="AJ25" s="342"/>
      <c r="AK25" s="343"/>
      <c r="AL25" s="346"/>
      <c r="AM25" s="347"/>
      <c r="AN25" s="146"/>
      <c r="AO25" s="101" t="str">
        <f t="shared" si="19"/>
        <v/>
      </c>
      <c r="AP25" s="113" t="str">
        <f t="shared" si="20"/>
        <v>-</v>
      </c>
      <c r="AQ25" s="119"/>
      <c r="AR25" s="103" t="str">
        <f t="shared" si="21"/>
        <v/>
      </c>
      <c r="AY25" s="38" t="str">
        <f t="shared" si="1"/>
        <v/>
      </c>
      <c r="AZ25" s="38" t="str">
        <f t="shared" si="2"/>
        <v>0</v>
      </c>
      <c r="BA25" s="38" t="str">
        <f t="shared" si="3"/>
        <v>0</v>
      </c>
      <c r="BB25" s="38" t="str">
        <f t="shared" si="4"/>
        <v>0</v>
      </c>
      <c r="BC25" s="38">
        <f t="shared" si="5"/>
        <v>0</v>
      </c>
      <c r="BD25" s="38">
        <f t="shared" si="6"/>
        <v>0</v>
      </c>
      <c r="BL25" s="38" t="str">
        <f t="shared" si="7"/>
        <v/>
      </c>
      <c r="BM25" s="38" t="str">
        <f t="shared" si="8"/>
        <v/>
      </c>
      <c r="BN25" s="38" t="str">
        <f t="shared" si="9"/>
        <v/>
      </c>
      <c r="BO25" s="38" t="str">
        <f t="shared" si="10"/>
        <v/>
      </c>
      <c r="BP25" s="38" t="str">
        <f t="shared" si="11"/>
        <v/>
      </c>
      <c r="BQ25" s="38" t="str">
        <f t="shared" si="12"/>
        <v/>
      </c>
    </row>
    <row r="26" spans="1:69" ht="15" customHeight="1" x14ac:dyDescent="0.3">
      <c r="A26" s="393" t="s">
        <v>24</v>
      </c>
      <c r="B26" s="394"/>
      <c r="C26" s="394"/>
      <c r="D26" s="394"/>
      <c r="E26" s="81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9"/>
      <c r="Z26" s="139"/>
      <c r="AA26" s="140"/>
      <c r="AB26" s="141" t="s">
        <v>16</v>
      </c>
      <c r="AC26" s="140"/>
      <c r="AD26" s="142"/>
      <c r="AE26" s="143"/>
      <c r="AF26" s="143"/>
      <c r="AG26" s="144"/>
      <c r="AH26" s="145"/>
      <c r="AI26" s="145"/>
      <c r="AJ26" s="342"/>
      <c r="AK26" s="343"/>
      <c r="AL26" s="346"/>
      <c r="AM26" s="347"/>
      <c r="AN26" s="146"/>
      <c r="AO26" s="101" t="str">
        <f t="shared" si="19"/>
        <v/>
      </c>
      <c r="AP26" s="113" t="str">
        <f t="shared" si="20"/>
        <v>-</v>
      </c>
      <c r="AQ26" s="119"/>
      <c r="AR26" s="103" t="str">
        <f t="shared" si="21"/>
        <v/>
      </c>
      <c r="AY26" s="38" t="str">
        <f t="shared" si="1"/>
        <v/>
      </c>
      <c r="AZ26" s="38" t="str">
        <f t="shared" si="2"/>
        <v>0</v>
      </c>
      <c r="BA26" s="38" t="str">
        <f t="shared" si="3"/>
        <v>0</v>
      </c>
      <c r="BB26" s="38" t="str">
        <f t="shared" si="4"/>
        <v>0</v>
      </c>
      <c r="BC26" s="38">
        <f t="shared" si="5"/>
        <v>0</v>
      </c>
      <c r="BD26" s="38">
        <f t="shared" si="6"/>
        <v>0</v>
      </c>
      <c r="BL26" s="38" t="str">
        <f t="shared" si="7"/>
        <v/>
      </c>
      <c r="BM26" s="38" t="str">
        <f t="shared" si="8"/>
        <v/>
      </c>
      <c r="BN26" s="38" t="str">
        <f t="shared" si="9"/>
        <v/>
      </c>
      <c r="BO26" s="38" t="str">
        <f t="shared" si="10"/>
        <v/>
      </c>
      <c r="BP26" s="38" t="str">
        <f t="shared" si="11"/>
        <v/>
      </c>
      <c r="BQ26" s="38" t="str">
        <f t="shared" si="12"/>
        <v/>
      </c>
    </row>
    <row r="27" spans="1:69" ht="15.6" x14ac:dyDescent="0.3">
      <c r="A27" s="393"/>
      <c r="B27" s="394"/>
      <c r="C27" s="394"/>
      <c r="D27" s="394"/>
      <c r="E27" s="81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9"/>
      <c r="Z27" s="139"/>
      <c r="AA27" s="140"/>
      <c r="AB27" s="141" t="s">
        <v>16</v>
      </c>
      <c r="AC27" s="140"/>
      <c r="AD27" s="142"/>
      <c r="AE27" s="143"/>
      <c r="AF27" s="143"/>
      <c r="AG27" s="144"/>
      <c r="AH27" s="145"/>
      <c r="AI27" s="145"/>
      <c r="AJ27" s="342"/>
      <c r="AK27" s="343"/>
      <c r="AL27" s="346"/>
      <c r="AM27" s="347"/>
      <c r="AN27" s="146"/>
      <c r="AO27" s="101" t="str">
        <f t="shared" si="19"/>
        <v/>
      </c>
      <c r="AP27" s="113" t="str">
        <f t="shared" si="20"/>
        <v>-</v>
      </c>
      <c r="AQ27" s="119"/>
      <c r="AR27" s="103" t="str">
        <f t="shared" si="21"/>
        <v/>
      </c>
      <c r="AY27" s="38" t="str">
        <f t="shared" si="1"/>
        <v/>
      </c>
      <c r="AZ27" s="38" t="str">
        <f t="shared" si="2"/>
        <v>0</v>
      </c>
      <c r="BA27" s="38" t="str">
        <f t="shared" si="3"/>
        <v>0</v>
      </c>
      <c r="BB27" s="38" t="str">
        <f t="shared" si="4"/>
        <v>0</v>
      </c>
      <c r="BC27" s="38">
        <f t="shared" si="5"/>
        <v>0</v>
      </c>
      <c r="BD27" s="38">
        <f t="shared" si="6"/>
        <v>0</v>
      </c>
      <c r="BL27" s="38" t="str">
        <f t="shared" si="7"/>
        <v/>
      </c>
      <c r="BM27" s="38" t="str">
        <f t="shared" si="8"/>
        <v/>
      </c>
      <c r="BN27" s="38" t="str">
        <f t="shared" si="9"/>
        <v/>
      </c>
      <c r="BO27" s="38" t="str">
        <f t="shared" si="10"/>
        <v/>
      </c>
      <c r="BP27" s="38" t="str">
        <f t="shared" si="11"/>
        <v/>
      </c>
      <c r="BQ27" s="38" t="str">
        <f t="shared" si="12"/>
        <v/>
      </c>
    </row>
    <row r="28" spans="1:69" ht="15.6" x14ac:dyDescent="0.3">
      <c r="A28" s="395"/>
      <c r="B28" s="396"/>
      <c r="C28" s="396"/>
      <c r="D28" s="396"/>
      <c r="E28" s="81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1"/>
      <c r="Z28" s="147"/>
      <c r="AA28" s="140"/>
      <c r="AB28" s="148" t="str">
        <f>+AB25</f>
        <v>-</v>
      </c>
      <c r="AC28" s="140"/>
      <c r="AD28" s="142"/>
      <c r="AE28" s="143"/>
      <c r="AF28" s="143"/>
      <c r="AG28" s="144"/>
      <c r="AH28" s="145"/>
      <c r="AI28" s="145"/>
      <c r="AJ28" s="342"/>
      <c r="AK28" s="343"/>
      <c r="AL28" s="346"/>
      <c r="AM28" s="347"/>
      <c r="AN28" s="146"/>
      <c r="AO28" s="101" t="str">
        <f t="shared" si="19"/>
        <v/>
      </c>
      <c r="AP28" s="113" t="str">
        <f t="shared" si="20"/>
        <v>-</v>
      </c>
      <c r="AQ28" s="119"/>
      <c r="AR28" s="103" t="str">
        <f t="shared" si="21"/>
        <v/>
      </c>
      <c r="AY28" s="38" t="str">
        <f t="shared" si="1"/>
        <v/>
      </c>
      <c r="AZ28" s="38" t="str">
        <f t="shared" si="2"/>
        <v>0</v>
      </c>
      <c r="BA28" s="38" t="str">
        <f t="shared" si="3"/>
        <v>0</v>
      </c>
      <c r="BB28" s="38" t="str">
        <f t="shared" si="4"/>
        <v>0</v>
      </c>
      <c r="BC28" s="38">
        <f t="shared" si="5"/>
        <v>0</v>
      </c>
      <c r="BD28" s="38">
        <f t="shared" si="6"/>
        <v>0</v>
      </c>
      <c r="BL28" s="38" t="str">
        <f t="shared" si="7"/>
        <v/>
      </c>
      <c r="BM28" s="38" t="str">
        <f t="shared" si="8"/>
        <v/>
      </c>
      <c r="BN28" s="38" t="str">
        <f t="shared" si="9"/>
        <v/>
      </c>
      <c r="BO28" s="38" t="str">
        <f t="shared" si="10"/>
        <v/>
      </c>
      <c r="BP28" s="38" t="str">
        <f t="shared" si="11"/>
        <v/>
      </c>
      <c r="BQ28" s="38" t="str">
        <f t="shared" si="12"/>
        <v/>
      </c>
    </row>
    <row r="29" spans="1:69" ht="15.6" x14ac:dyDescent="0.3">
      <c r="A29" s="86" t="s">
        <v>0</v>
      </c>
      <c r="B29" s="87" t="s">
        <v>1</v>
      </c>
      <c r="C29" s="64"/>
      <c r="D29" s="89"/>
      <c r="E29" s="88" t="s">
        <v>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90"/>
      <c r="V29" s="91" t="s">
        <v>3</v>
      </c>
      <c r="W29" s="91" t="s">
        <v>4</v>
      </c>
      <c r="X29" s="91" t="s">
        <v>5</v>
      </c>
      <c r="Y29" s="92" t="s">
        <v>6</v>
      </c>
      <c r="Z29" s="111"/>
      <c r="AA29" s="149"/>
      <c r="AB29" s="150" t="str">
        <f t="shared" si="16"/>
        <v>-</v>
      </c>
      <c r="AC29" s="149"/>
      <c r="AD29" s="151"/>
      <c r="AE29" s="152"/>
      <c r="AF29" s="152"/>
      <c r="AG29" s="153"/>
      <c r="AH29" s="154"/>
      <c r="AI29" s="154"/>
      <c r="AJ29" s="342"/>
      <c r="AK29" s="343"/>
      <c r="AL29" s="348"/>
      <c r="AM29" s="349"/>
      <c r="AN29" s="155"/>
      <c r="AO29" s="101" t="str">
        <f t="shared" si="19"/>
        <v/>
      </c>
      <c r="AP29" s="113" t="str">
        <f t="shared" si="20"/>
        <v>-</v>
      </c>
      <c r="AQ29" s="119"/>
      <c r="AR29" s="103" t="str">
        <f t="shared" si="21"/>
        <v/>
      </c>
      <c r="AY29" s="38" t="str">
        <f t="shared" si="1"/>
        <v/>
      </c>
      <c r="AZ29" s="38" t="str">
        <f t="shared" si="2"/>
        <v>0</v>
      </c>
      <c r="BA29" s="38" t="str">
        <f t="shared" si="3"/>
        <v>0</v>
      </c>
      <c r="BB29" s="38" t="str">
        <f t="shared" si="4"/>
        <v>0</v>
      </c>
      <c r="BC29" s="38">
        <f t="shared" si="5"/>
        <v>0</v>
      </c>
      <c r="BD29" s="38">
        <f t="shared" si="6"/>
        <v>0</v>
      </c>
      <c r="BL29" s="38" t="str">
        <f t="shared" si="7"/>
        <v/>
      </c>
      <c r="BM29" s="38" t="str">
        <f t="shared" si="8"/>
        <v/>
      </c>
      <c r="BN29" s="38" t="str">
        <f t="shared" si="9"/>
        <v/>
      </c>
      <c r="BO29" s="38" t="str">
        <f t="shared" si="10"/>
        <v/>
      </c>
      <c r="BP29" s="38" t="str">
        <f t="shared" si="11"/>
        <v/>
      </c>
      <c r="BQ29" s="38" t="str">
        <f t="shared" si="12"/>
        <v/>
      </c>
    </row>
    <row r="30" spans="1:69" ht="15.6" x14ac:dyDescent="0.3">
      <c r="A30" s="104" t="s">
        <v>265</v>
      </c>
      <c r="B30" s="397">
        <f>IF(ISBLANK(HLOOKUP($F$25,spelerslijsten!$B$1:$J$22,4,FALSE)),"",HLOOKUP($F$25,spelerslijsten!$B$1:$J$22,4,FALSE))</f>
        <v>2</v>
      </c>
      <c r="C30" s="398"/>
      <c r="D30" s="105"/>
      <c r="E30" s="106" t="str">
        <f>IF(ISBLANK(HLOOKUP($F$25,spelerslijsten!$B$1:$J$22,3,FALSE)),"",HLOOKUP($F$25,spelerslijsten!$B$1:$J$22,3,FALSE))</f>
        <v>Corne Braken</v>
      </c>
      <c r="F30" s="105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8">
        <f t="shared" ref="V30:V39" si="23">SUMIF($AY$13:$AY$46,AT30,$BC$13:$BC$46)</f>
        <v>0</v>
      </c>
      <c r="W30" s="109" t="str">
        <f>IF(AU30&gt;0,"x","")</f>
        <v/>
      </c>
      <c r="X30" s="110" t="str">
        <f>IF(AU30&gt;1,"x","")</f>
        <v/>
      </c>
      <c r="Y30" s="103" t="str">
        <f>IF(AU30&gt;2,"x","")</f>
        <v/>
      </c>
      <c r="Z30" s="111"/>
      <c r="AA30" s="112"/>
      <c r="AB30" s="113" t="str">
        <f t="shared" si="16"/>
        <v>-</v>
      </c>
      <c r="AC30" s="112"/>
      <c r="AD30" s="114"/>
      <c r="AE30" s="115"/>
      <c r="AF30" s="115"/>
      <c r="AG30" s="116"/>
      <c r="AH30" s="117"/>
      <c r="AI30" s="117"/>
      <c r="AJ30" s="342"/>
      <c r="AK30" s="343"/>
      <c r="AL30" s="346"/>
      <c r="AM30" s="347"/>
      <c r="AN30" s="118"/>
      <c r="AO30" s="101" t="str">
        <f t="shared" si="19"/>
        <v/>
      </c>
      <c r="AP30" s="113" t="str">
        <f t="shared" si="20"/>
        <v>-</v>
      </c>
      <c r="AQ30" s="119"/>
      <c r="AR30" s="103" t="str">
        <f t="shared" si="21"/>
        <v/>
      </c>
      <c r="AT30" s="38" t="str">
        <f>CONCATENATE($AV$11&amp;B30)</f>
        <v>B2</v>
      </c>
      <c r="AU30" s="38">
        <f t="shared" si="18"/>
        <v>0</v>
      </c>
      <c r="AY30" s="38" t="str">
        <f t="shared" si="1"/>
        <v/>
      </c>
      <c r="AZ30" s="38" t="str">
        <f t="shared" si="2"/>
        <v>0</v>
      </c>
      <c r="BA30" s="38" t="str">
        <f t="shared" si="3"/>
        <v>0</v>
      </c>
      <c r="BB30" s="38" t="str">
        <f t="shared" si="4"/>
        <v>0</v>
      </c>
      <c r="BC30" s="38">
        <f t="shared" si="5"/>
        <v>0</v>
      </c>
      <c r="BD30" s="38">
        <f t="shared" si="6"/>
        <v>0</v>
      </c>
      <c r="BL30" s="38" t="str">
        <f t="shared" si="7"/>
        <v/>
      </c>
      <c r="BM30" s="38" t="str">
        <f t="shared" si="8"/>
        <v/>
      </c>
      <c r="BN30" s="38" t="str">
        <f t="shared" si="9"/>
        <v/>
      </c>
      <c r="BO30" s="38" t="str">
        <f t="shared" si="10"/>
        <v/>
      </c>
      <c r="BP30" s="38" t="str">
        <f t="shared" si="11"/>
        <v/>
      </c>
      <c r="BQ30" s="38" t="str">
        <f t="shared" si="12"/>
        <v/>
      </c>
    </row>
    <row r="31" spans="1:69" ht="15.6" x14ac:dyDescent="0.3">
      <c r="A31" s="120" t="s">
        <v>265</v>
      </c>
      <c r="B31" s="397">
        <f>IF(ISBLANK(HLOOKUP($F$25,spelerslijsten!$B$1:$J$22,6,FALSE)),"",HLOOKUP($F$25,spelerslijsten!$B$1:$J$22,6,FALSE))</f>
        <v>3</v>
      </c>
      <c r="C31" s="398"/>
      <c r="D31" s="121"/>
      <c r="E31" s="122" t="str">
        <f>IF(ISBLANK(HLOOKUP($F$25,spelerslijsten!$B$1:$J$22,5,FALSE)),"",HLOOKUP($F$25,spelerslijsten!$B$1:$J$22,5,FALSE))</f>
        <v>Kevin Kanters</v>
      </c>
      <c r="F31" s="12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08">
        <f t="shared" si="23"/>
        <v>1</v>
      </c>
      <c r="W31" s="109" t="str">
        <f t="shared" ref="W31:W39" si="24">IF(AU31&gt;0,"x","")</f>
        <v/>
      </c>
      <c r="X31" s="110" t="str">
        <f t="shared" ref="X31:X39" si="25">IF(AU31&gt;1,"x","")</f>
        <v/>
      </c>
      <c r="Y31" s="103" t="str">
        <f t="shared" ref="Y31:Y39" si="26">IF(AU31&gt;2,"x","")</f>
        <v/>
      </c>
      <c r="Z31" s="111"/>
      <c r="AA31" s="112"/>
      <c r="AB31" s="113" t="str">
        <f t="shared" si="16"/>
        <v>-</v>
      </c>
      <c r="AC31" s="112"/>
      <c r="AD31" s="114"/>
      <c r="AE31" s="115"/>
      <c r="AF31" s="115"/>
      <c r="AG31" s="116"/>
      <c r="AH31" s="117"/>
      <c r="AI31" s="117"/>
      <c r="AJ31" s="342"/>
      <c r="AK31" s="343"/>
      <c r="AL31" s="346"/>
      <c r="AM31" s="347"/>
      <c r="AN31" s="118"/>
      <c r="AO31" s="101" t="str">
        <f t="shared" si="19"/>
        <v/>
      </c>
      <c r="AP31" s="113" t="str">
        <f t="shared" si="20"/>
        <v>-</v>
      </c>
      <c r="AQ31" s="119"/>
      <c r="AR31" s="103" t="str">
        <f t="shared" si="21"/>
        <v/>
      </c>
      <c r="AT31" s="38" t="str">
        <f t="shared" ref="AT31:AT39" si="27">CONCATENATE($AV$11&amp;B31)</f>
        <v>B3</v>
      </c>
      <c r="AU31" s="38">
        <f t="shared" si="18"/>
        <v>0</v>
      </c>
      <c r="AY31" s="38" t="str">
        <f t="shared" si="1"/>
        <v/>
      </c>
      <c r="AZ31" s="38" t="str">
        <f t="shared" si="2"/>
        <v>0</v>
      </c>
      <c r="BA31" s="38" t="str">
        <f t="shared" si="3"/>
        <v>0</v>
      </c>
      <c r="BB31" s="38" t="str">
        <f t="shared" si="4"/>
        <v>0</v>
      </c>
      <c r="BC31" s="38">
        <f t="shared" si="5"/>
        <v>0</v>
      </c>
      <c r="BD31" s="38">
        <f t="shared" si="6"/>
        <v>0</v>
      </c>
      <c r="BL31" s="38" t="str">
        <f t="shared" si="7"/>
        <v/>
      </c>
      <c r="BM31" s="38" t="str">
        <f t="shared" si="8"/>
        <v/>
      </c>
      <c r="BN31" s="38" t="str">
        <f t="shared" si="9"/>
        <v/>
      </c>
      <c r="BO31" s="38" t="str">
        <f t="shared" si="10"/>
        <v/>
      </c>
      <c r="BP31" s="38" t="str">
        <f t="shared" si="11"/>
        <v/>
      </c>
      <c r="BQ31" s="38" t="str">
        <f t="shared" si="12"/>
        <v/>
      </c>
    </row>
    <row r="32" spans="1:69" ht="15.6" x14ac:dyDescent="0.3">
      <c r="A32" s="124" t="s">
        <v>265</v>
      </c>
      <c r="B32" s="397">
        <f>IF(ISBLANK(HLOOKUP($F$25,spelerslijsten!$B$1:$J$22,8,FALSE)),"",HLOOKUP($F$25,spelerslijsten!$B$1:$J$22,8,FALSE))</f>
        <v>4</v>
      </c>
      <c r="C32" s="398"/>
      <c r="D32" s="121"/>
      <c r="E32" s="122" t="str">
        <f>IF(ISBLANK(HLOOKUP($F$25,spelerslijsten!$B$1:$J$22,7,FALSE)),"",HLOOKUP($F$25,spelerslijsten!$B$1:$J$22,7,FALSE))</f>
        <v>Monique Schouten</v>
      </c>
      <c r="F32" s="12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08">
        <f t="shared" si="23"/>
        <v>0</v>
      </c>
      <c r="W32" s="109" t="str">
        <f t="shared" si="24"/>
        <v/>
      </c>
      <c r="X32" s="110" t="str">
        <f t="shared" si="25"/>
        <v/>
      </c>
      <c r="Y32" s="103" t="str">
        <f t="shared" si="26"/>
        <v/>
      </c>
      <c r="Z32" s="111"/>
      <c r="AA32" s="112"/>
      <c r="AB32" s="113" t="str">
        <f t="shared" si="16"/>
        <v>-</v>
      </c>
      <c r="AC32" s="112"/>
      <c r="AD32" s="114"/>
      <c r="AE32" s="115"/>
      <c r="AF32" s="115"/>
      <c r="AG32" s="116"/>
      <c r="AH32" s="117"/>
      <c r="AI32" s="117"/>
      <c r="AJ32" s="342"/>
      <c r="AK32" s="343"/>
      <c r="AL32" s="346"/>
      <c r="AM32" s="347"/>
      <c r="AN32" s="118"/>
      <c r="AO32" s="101" t="str">
        <f t="shared" si="19"/>
        <v/>
      </c>
      <c r="AP32" s="113" t="str">
        <f t="shared" si="20"/>
        <v>-</v>
      </c>
      <c r="AQ32" s="119"/>
      <c r="AR32" s="103" t="str">
        <f t="shared" si="21"/>
        <v/>
      </c>
      <c r="AT32" s="38" t="str">
        <f t="shared" si="27"/>
        <v>B4</v>
      </c>
      <c r="AU32" s="38">
        <f t="shared" si="18"/>
        <v>0</v>
      </c>
      <c r="AY32" s="38" t="str">
        <f t="shared" si="1"/>
        <v/>
      </c>
      <c r="AZ32" s="38" t="str">
        <f t="shared" si="2"/>
        <v>0</v>
      </c>
      <c r="BA32" s="38" t="str">
        <f t="shared" si="3"/>
        <v>0</v>
      </c>
      <c r="BB32" s="38" t="str">
        <f t="shared" si="4"/>
        <v>0</v>
      </c>
      <c r="BC32" s="38">
        <f t="shared" si="5"/>
        <v>0</v>
      </c>
      <c r="BD32" s="38">
        <f t="shared" si="6"/>
        <v>0</v>
      </c>
      <c r="BL32" s="38" t="str">
        <f t="shared" si="7"/>
        <v/>
      </c>
      <c r="BM32" s="38" t="str">
        <f t="shared" si="8"/>
        <v/>
      </c>
      <c r="BN32" s="38" t="str">
        <f t="shared" si="9"/>
        <v/>
      </c>
      <c r="BO32" s="38" t="str">
        <f t="shared" si="10"/>
        <v/>
      </c>
      <c r="BP32" s="38" t="str">
        <f t="shared" si="11"/>
        <v/>
      </c>
      <c r="BQ32" s="38" t="str">
        <f t="shared" si="12"/>
        <v/>
      </c>
    </row>
    <row r="33" spans="1:69" ht="15.6" x14ac:dyDescent="0.3">
      <c r="A33" s="124" t="s">
        <v>265</v>
      </c>
      <c r="B33" s="397">
        <f>IF(ISBLANK(HLOOKUP($F$25,spelerslijsten!$B$1:$J$22,10,FALSE)),"",HLOOKUP($F$25,spelerslijsten!$B$1:$J$22,10,FALSE))</f>
        <v>5</v>
      </c>
      <c r="C33" s="398"/>
      <c r="D33" s="121"/>
      <c r="E33" s="122" t="str">
        <f>IF(ISBLANK(HLOOKUP($F$25,spelerslijsten!$B$1:$J$22,9,FALSE)),"",HLOOKUP($F$25,spelerslijsten!$B$1:$J$22,9,FALSE))</f>
        <v>Miranda van Schaijk</v>
      </c>
      <c r="F33" s="12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08">
        <f t="shared" si="23"/>
        <v>0</v>
      </c>
      <c r="W33" s="109" t="str">
        <f t="shared" si="24"/>
        <v/>
      </c>
      <c r="X33" s="110" t="str">
        <f t="shared" si="25"/>
        <v/>
      </c>
      <c r="Y33" s="103" t="str">
        <f t="shared" si="26"/>
        <v/>
      </c>
      <c r="Z33" s="111"/>
      <c r="AA33" s="112"/>
      <c r="AB33" s="113" t="str">
        <f t="shared" si="16"/>
        <v>-</v>
      </c>
      <c r="AC33" s="112"/>
      <c r="AD33" s="114"/>
      <c r="AE33" s="115"/>
      <c r="AF33" s="115"/>
      <c r="AG33" s="116"/>
      <c r="AH33" s="117"/>
      <c r="AI33" s="117"/>
      <c r="AJ33" s="342"/>
      <c r="AK33" s="343"/>
      <c r="AL33" s="346"/>
      <c r="AM33" s="347"/>
      <c r="AN33" s="118"/>
      <c r="AO33" s="101" t="str">
        <f t="shared" si="19"/>
        <v/>
      </c>
      <c r="AP33" s="113" t="str">
        <f t="shared" si="20"/>
        <v>-</v>
      </c>
      <c r="AQ33" s="119"/>
      <c r="AR33" s="103" t="str">
        <f t="shared" si="21"/>
        <v/>
      </c>
      <c r="AT33" s="38" t="str">
        <f t="shared" si="27"/>
        <v>B5</v>
      </c>
      <c r="AU33" s="38">
        <f t="shared" si="18"/>
        <v>0</v>
      </c>
      <c r="AY33" s="38" t="str">
        <f t="shared" si="1"/>
        <v/>
      </c>
      <c r="AZ33" s="38" t="str">
        <f t="shared" si="2"/>
        <v>0</v>
      </c>
      <c r="BA33" s="38" t="str">
        <f t="shared" si="3"/>
        <v>0</v>
      </c>
      <c r="BB33" s="38" t="str">
        <f t="shared" si="4"/>
        <v>0</v>
      </c>
      <c r="BC33" s="38">
        <f t="shared" si="5"/>
        <v>0</v>
      </c>
      <c r="BD33" s="38">
        <f t="shared" si="6"/>
        <v>0</v>
      </c>
      <c r="BL33" s="38" t="str">
        <f t="shared" si="7"/>
        <v/>
      </c>
      <c r="BM33" s="38" t="str">
        <f t="shared" si="8"/>
        <v/>
      </c>
      <c r="BN33" s="38" t="str">
        <f t="shared" si="9"/>
        <v/>
      </c>
      <c r="BO33" s="38" t="str">
        <f t="shared" si="10"/>
        <v/>
      </c>
      <c r="BP33" s="38" t="str">
        <f t="shared" si="11"/>
        <v/>
      </c>
      <c r="BQ33" s="38" t="str">
        <f t="shared" si="12"/>
        <v/>
      </c>
    </row>
    <row r="34" spans="1:69" ht="15.6" x14ac:dyDescent="0.3">
      <c r="A34" s="124"/>
      <c r="B34" s="397">
        <f>IF(ISBLANK(HLOOKUP($F$25,spelerslijsten!$B$1:$J$22,12,FALSE)),"",HLOOKUP($F$25,spelerslijsten!$B$1:$J$22,12,FALSE))</f>
        <v>6</v>
      </c>
      <c r="C34" s="398"/>
      <c r="D34" s="121"/>
      <c r="E34" s="122" t="str">
        <f>IF(ISBLANK(HLOOKUP($F$25,spelerslijsten!$B$1:$J$22,11,FALSE)),"",HLOOKUP($F$25,spelerslijsten!$B$1:$J$22,11,FALSE))</f>
        <v>Jan Zegers</v>
      </c>
      <c r="F34" s="12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08">
        <f t="shared" si="23"/>
        <v>0</v>
      </c>
      <c r="W34" s="109" t="str">
        <f t="shared" si="24"/>
        <v/>
      </c>
      <c r="X34" s="110" t="str">
        <f t="shared" si="25"/>
        <v/>
      </c>
      <c r="Y34" s="103" t="str">
        <f t="shared" si="26"/>
        <v/>
      </c>
      <c r="Z34" s="111"/>
      <c r="AA34" s="112"/>
      <c r="AB34" s="113" t="str">
        <f t="shared" si="16"/>
        <v>-</v>
      </c>
      <c r="AC34" s="112"/>
      <c r="AD34" s="114"/>
      <c r="AE34" s="115"/>
      <c r="AF34" s="115"/>
      <c r="AG34" s="116"/>
      <c r="AH34" s="117"/>
      <c r="AI34" s="117"/>
      <c r="AJ34" s="342"/>
      <c r="AK34" s="343"/>
      <c r="AL34" s="346"/>
      <c r="AM34" s="347"/>
      <c r="AN34" s="118"/>
      <c r="AO34" s="101" t="str">
        <f t="shared" si="19"/>
        <v/>
      </c>
      <c r="AP34" s="113" t="str">
        <f t="shared" si="20"/>
        <v>-</v>
      </c>
      <c r="AQ34" s="119"/>
      <c r="AR34" s="103" t="str">
        <f t="shared" si="21"/>
        <v/>
      </c>
      <c r="AT34" s="38" t="str">
        <f t="shared" si="27"/>
        <v>B6</v>
      </c>
      <c r="AU34" s="38">
        <f t="shared" si="18"/>
        <v>0</v>
      </c>
      <c r="AY34" s="38" t="str">
        <f t="shared" si="1"/>
        <v/>
      </c>
      <c r="AZ34" s="38" t="str">
        <f t="shared" si="2"/>
        <v>0</v>
      </c>
      <c r="BA34" s="38" t="str">
        <f t="shared" si="3"/>
        <v>0</v>
      </c>
      <c r="BB34" s="38" t="str">
        <f t="shared" si="4"/>
        <v>0</v>
      </c>
      <c r="BC34" s="38">
        <f t="shared" si="5"/>
        <v>0</v>
      </c>
      <c r="BD34" s="38">
        <f t="shared" si="6"/>
        <v>0</v>
      </c>
      <c r="BL34" s="38" t="str">
        <f t="shared" si="7"/>
        <v/>
      </c>
      <c r="BM34" s="38" t="str">
        <f t="shared" si="8"/>
        <v/>
      </c>
      <c r="BN34" s="38" t="str">
        <f t="shared" si="9"/>
        <v/>
      </c>
      <c r="BO34" s="38" t="str">
        <f t="shared" si="10"/>
        <v/>
      </c>
      <c r="BP34" s="38" t="str">
        <f t="shared" si="11"/>
        <v/>
      </c>
      <c r="BQ34" s="38" t="str">
        <f t="shared" si="12"/>
        <v/>
      </c>
    </row>
    <row r="35" spans="1:69" ht="15.6" x14ac:dyDescent="0.3">
      <c r="A35" s="124" t="s">
        <v>265</v>
      </c>
      <c r="B35" s="397">
        <f>IF(ISBLANK(HLOOKUP($F$25,spelerslijsten!$B$1:$J$22,14,FALSE)),"",HLOOKUP($F$25,spelerslijsten!$B$1:$J$22,14,FALSE))</f>
        <v>9</v>
      </c>
      <c r="C35" s="398"/>
      <c r="D35" s="121"/>
      <c r="E35" s="122" t="str">
        <f>IF(ISBLANK(HLOOKUP($F$25,spelerslijsten!$B$1:$J$22,13,FALSE)),"",HLOOKUP($F$25,spelerslijsten!$B$1:$J$22,13,FALSE))</f>
        <v>Christian Gibbels</v>
      </c>
      <c r="F35" s="12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08">
        <f t="shared" si="23"/>
        <v>0</v>
      </c>
      <c r="W35" s="109" t="str">
        <f t="shared" si="24"/>
        <v/>
      </c>
      <c r="X35" s="110" t="str">
        <f t="shared" si="25"/>
        <v/>
      </c>
      <c r="Y35" s="103" t="str">
        <f t="shared" si="26"/>
        <v/>
      </c>
      <c r="Z35" s="111"/>
      <c r="AA35" s="112"/>
      <c r="AB35" s="113" t="str">
        <f t="shared" si="16"/>
        <v>-</v>
      </c>
      <c r="AC35" s="112"/>
      <c r="AD35" s="114"/>
      <c r="AE35" s="115"/>
      <c r="AF35" s="115"/>
      <c r="AG35" s="116"/>
      <c r="AH35" s="117"/>
      <c r="AI35" s="117"/>
      <c r="AJ35" s="342"/>
      <c r="AK35" s="343"/>
      <c r="AL35" s="346"/>
      <c r="AM35" s="347"/>
      <c r="AN35" s="118"/>
      <c r="AO35" s="101" t="str">
        <f t="shared" si="19"/>
        <v/>
      </c>
      <c r="AP35" s="113" t="str">
        <f t="shared" si="20"/>
        <v>-</v>
      </c>
      <c r="AQ35" s="119"/>
      <c r="AR35" s="103" t="str">
        <f t="shared" si="21"/>
        <v/>
      </c>
      <c r="AT35" s="38" t="str">
        <f t="shared" si="27"/>
        <v>B9</v>
      </c>
      <c r="AU35" s="38">
        <f t="shared" si="18"/>
        <v>0</v>
      </c>
      <c r="AY35" s="38" t="str">
        <f t="shared" si="1"/>
        <v/>
      </c>
      <c r="AZ35" s="38" t="str">
        <f t="shared" si="2"/>
        <v>0</v>
      </c>
      <c r="BA35" s="38" t="str">
        <f t="shared" si="3"/>
        <v>0</v>
      </c>
      <c r="BB35" s="38" t="str">
        <f t="shared" si="4"/>
        <v>0</v>
      </c>
      <c r="BC35" s="38">
        <f t="shared" si="5"/>
        <v>0</v>
      </c>
      <c r="BD35" s="38">
        <f t="shared" si="6"/>
        <v>0</v>
      </c>
      <c r="BL35" s="38" t="str">
        <f t="shared" si="7"/>
        <v/>
      </c>
      <c r="BM35" s="38" t="str">
        <f t="shared" si="8"/>
        <v/>
      </c>
      <c r="BN35" s="38" t="str">
        <f t="shared" si="9"/>
        <v/>
      </c>
      <c r="BO35" s="38" t="str">
        <f t="shared" si="10"/>
        <v/>
      </c>
      <c r="BP35" s="38" t="str">
        <f t="shared" si="11"/>
        <v/>
      </c>
      <c r="BQ35" s="38" t="str">
        <f t="shared" si="12"/>
        <v/>
      </c>
    </row>
    <row r="36" spans="1:69" ht="15.6" x14ac:dyDescent="0.3">
      <c r="A36" s="124" t="s">
        <v>265</v>
      </c>
      <c r="B36" s="397">
        <f>IF(ISBLANK(HLOOKUP($F$25,spelerslijsten!$B$1:$J$22,16,FALSE)),"",HLOOKUP($F$25,spelerslijsten!$B$1:$J$22,16,FALSE))</f>
        <v>10</v>
      </c>
      <c r="C36" s="398"/>
      <c r="D36" s="121"/>
      <c r="E36" s="122" t="str">
        <f>IF(ISBLANK(HLOOKUP($F$25,spelerslijsten!$B$1:$J$22,15,FALSE)),"",HLOOKUP($F$25,spelerslijsten!$B$1:$J$22,15,FALSE))</f>
        <v>Stefan van der Wielen</v>
      </c>
      <c r="F36" s="12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08">
        <f t="shared" si="23"/>
        <v>0</v>
      </c>
      <c r="W36" s="109" t="str">
        <f t="shared" si="24"/>
        <v/>
      </c>
      <c r="X36" s="110" t="str">
        <f t="shared" si="25"/>
        <v/>
      </c>
      <c r="Y36" s="103" t="str">
        <f t="shared" si="26"/>
        <v/>
      </c>
      <c r="Z36" s="111"/>
      <c r="AA36" s="112"/>
      <c r="AB36" s="113" t="str">
        <f t="shared" si="16"/>
        <v>-</v>
      </c>
      <c r="AC36" s="112"/>
      <c r="AD36" s="114"/>
      <c r="AE36" s="115"/>
      <c r="AF36" s="115"/>
      <c r="AG36" s="116"/>
      <c r="AH36" s="117"/>
      <c r="AI36" s="117"/>
      <c r="AJ36" s="342"/>
      <c r="AK36" s="343"/>
      <c r="AL36" s="346"/>
      <c r="AM36" s="347"/>
      <c r="AN36" s="118"/>
      <c r="AO36" s="101" t="str">
        <f t="shared" si="19"/>
        <v/>
      </c>
      <c r="AP36" s="113" t="str">
        <f t="shared" si="20"/>
        <v>-</v>
      </c>
      <c r="AQ36" s="119"/>
      <c r="AR36" s="103" t="str">
        <f t="shared" si="21"/>
        <v/>
      </c>
      <c r="AT36" s="38" t="str">
        <f t="shared" si="27"/>
        <v>B10</v>
      </c>
      <c r="AU36" s="38">
        <f t="shared" si="18"/>
        <v>0</v>
      </c>
      <c r="AY36" s="38" t="str">
        <f t="shared" si="1"/>
        <v/>
      </c>
      <c r="AZ36" s="38" t="str">
        <f t="shared" si="2"/>
        <v>0</v>
      </c>
      <c r="BA36" s="38" t="str">
        <f t="shared" si="3"/>
        <v>0</v>
      </c>
      <c r="BB36" s="38" t="str">
        <f t="shared" si="4"/>
        <v>0</v>
      </c>
      <c r="BC36" s="38">
        <f t="shared" si="5"/>
        <v>0</v>
      </c>
      <c r="BD36" s="38">
        <f t="shared" si="6"/>
        <v>0</v>
      </c>
      <c r="BL36" s="38" t="str">
        <f t="shared" si="7"/>
        <v/>
      </c>
      <c r="BM36" s="38" t="str">
        <f t="shared" si="8"/>
        <v/>
      </c>
      <c r="BN36" s="38" t="str">
        <f t="shared" si="9"/>
        <v/>
      </c>
      <c r="BO36" s="38" t="str">
        <f t="shared" si="10"/>
        <v/>
      </c>
      <c r="BP36" s="38" t="str">
        <f t="shared" si="11"/>
        <v/>
      </c>
      <c r="BQ36" s="38" t="str">
        <f t="shared" si="12"/>
        <v/>
      </c>
    </row>
    <row r="37" spans="1:69" ht="15.6" x14ac:dyDescent="0.3">
      <c r="A37" s="124"/>
      <c r="B37" s="397" t="str">
        <f>IF(ISBLANK(HLOOKUP($F$25,spelerslijsten!$B$1:$J$22,18,FALSE)),"",HLOOKUP($F$25,spelerslijsten!$B$1:$J$22,18,FALSE))</f>
        <v/>
      </c>
      <c r="C37" s="398"/>
      <c r="D37" s="121"/>
      <c r="E37" s="122" t="str">
        <f>IF(ISBLANK(HLOOKUP($F$25,spelerslijsten!$B$1:$J$22,17,FALSE)),"",HLOOKUP($F$25,spelerslijsten!$B$1:$J$22,17,FALSE))</f>
        <v/>
      </c>
      <c r="F37" s="12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08">
        <f t="shared" si="23"/>
        <v>0</v>
      </c>
      <c r="W37" s="109" t="str">
        <f t="shared" si="24"/>
        <v/>
      </c>
      <c r="X37" s="110" t="str">
        <f t="shared" si="25"/>
        <v/>
      </c>
      <c r="Y37" s="103" t="str">
        <f t="shared" si="26"/>
        <v/>
      </c>
      <c r="Z37" s="111"/>
      <c r="AA37" s="112"/>
      <c r="AB37" s="113" t="str">
        <f t="shared" si="16"/>
        <v>-</v>
      </c>
      <c r="AC37" s="112"/>
      <c r="AD37" s="114"/>
      <c r="AE37" s="115"/>
      <c r="AF37" s="115"/>
      <c r="AG37" s="116"/>
      <c r="AH37" s="117"/>
      <c r="AI37" s="117"/>
      <c r="AJ37" s="342"/>
      <c r="AK37" s="343"/>
      <c r="AL37" s="346"/>
      <c r="AM37" s="347"/>
      <c r="AN37" s="118"/>
      <c r="AO37" s="101" t="str">
        <f t="shared" si="19"/>
        <v/>
      </c>
      <c r="AP37" s="113" t="str">
        <f t="shared" si="20"/>
        <v>-</v>
      </c>
      <c r="AQ37" s="119"/>
      <c r="AR37" s="103" t="str">
        <f t="shared" si="21"/>
        <v/>
      </c>
      <c r="AT37" s="38" t="str">
        <f t="shared" si="27"/>
        <v>B</v>
      </c>
      <c r="AU37" s="38">
        <f t="shared" si="18"/>
        <v>0</v>
      </c>
      <c r="AY37" s="38" t="str">
        <f t="shared" si="1"/>
        <v/>
      </c>
      <c r="AZ37" s="38" t="str">
        <f t="shared" si="2"/>
        <v>0</v>
      </c>
      <c r="BA37" s="38" t="str">
        <f t="shared" si="3"/>
        <v>0</v>
      </c>
      <c r="BB37" s="38" t="str">
        <f t="shared" si="4"/>
        <v>0</v>
      </c>
      <c r="BC37" s="38">
        <f t="shared" si="5"/>
        <v>0</v>
      </c>
      <c r="BD37" s="38">
        <f t="shared" si="6"/>
        <v>0</v>
      </c>
      <c r="BL37" s="38" t="str">
        <f t="shared" si="7"/>
        <v/>
      </c>
      <c r="BM37" s="38" t="str">
        <f t="shared" si="8"/>
        <v/>
      </c>
      <c r="BN37" s="38" t="str">
        <f t="shared" si="9"/>
        <v/>
      </c>
      <c r="BO37" s="38" t="str">
        <f t="shared" si="10"/>
        <v/>
      </c>
      <c r="BP37" s="38" t="str">
        <f t="shared" si="11"/>
        <v/>
      </c>
      <c r="BQ37" s="38" t="str">
        <f t="shared" si="12"/>
        <v/>
      </c>
    </row>
    <row r="38" spans="1:69" ht="15.6" x14ac:dyDescent="0.3">
      <c r="A38" s="124"/>
      <c r="B38" s="397" t="str">
        <f>IF(ISBLANK(HLOOKUP($F$25,spelerslijsten!$B$1:$J$22,20,FALSE)),"",HLOOKUP($F$25,spelerslijsten!$B$1:$J$22,20,FALSE))</f>
        <v/>
      </c>
      <c r="C38" s="398"/>
      <c r="D38" s="121"/>
      <c r="E38" s="122" t="str">
        <f>IF(ISBLANK(HLOOKUP($F$25,spelerslijsten!$B$1:$J$22,19,FALSE)),"",HLOOKUP($F$25,spelerslijsten!$B$1:$J$22,19,FALSE))</f>
        <v/>
      </c>
      <c r="F38" s="12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08">
        <f t="shared" si="23"/>
        <v>0</v>
      </c>
      <c r="W38" s="109" t="str">
        <f t="shared" si="24"/>
        <v/>
      </c>
      <c r="X38" s="110" t="str">
        <f t="shared" si="25"/>
        <v/>
      </c>
      <c r="Y38" s="103" t="str">
        <f t="shared" si="26"/>
        <v/>
      </c>
      <c r="Z38" s="111"/>
      <c r="AA38" s="112"/>
      <c r="AB38" s="113" t="str">
        <f t="shared" si="16"/>
        <v>-</v>
      </c>
      <c r="AC38" s="112"/>
      <c r="AD38" s="114"/>
      <c r="AE38" s="115"/>
      <c r="AF38" s="115"/>
      <c r="AG38" s="116"/>
      <c r="AH38" s="117"/>
      <c r="AI38" s="117"/>
      <c r="AJ38" s="342"/>
      <c r="AK38" s="343"/>
      <c r="AL38" s="346"/>
      <c r="AM38" s="347"/>
      <c r="AN38" s="118"/>
      <c r="AO38" s="101" t="str">
        <f t="shared" si="19"/>
        <v/>
      </c>
      <c r="AP38" s="113" t="str">
        <f t="shared" si="20"/>
        <v>-</v>
      </c>
      <c r="AQ38" s="119"/>
      <c r="AR38" s="103" t="str">
        <f t="shared" si="21"/>
        <v/>
      </c>
      <c r="AT38" s="38" t="str">
        <f t="shared" si="27"/>
        <v>B</v>
      </c>
      <c r="AU38" s="38">
        <f t="shared" si="18"/>
        <v>0</v>
      </c>
      <c r="AY38" s="38" t="str">
        <f t="shared" si="1"/>
        <v/>
      </c>
      <c r="AZ38" s="38" t="str">
        <f t="shared" si="2"/>
        <v>0</v>
      </c>
      <c r="BA38" s="38" t="str">
        <f t="shared" si="3"/>
        <v>0</v>
      </c>
      <c r="BB38" s="38" t="str">
        <f t="shared" si="4"/>
        <v>0</v>
      </c>
      <c r="BC38" s="38">
        <f t="shared" si="5"/>
        <v>0</v>
      </c>
      <c r="BD38" s="38">
        <f t="shared" si="6"/>
        <v>0</v>
      </c>
      <c r="BL38" s="38" t="str">
        <f t="shared" si="7"/>
        <v/>
      </c>
      <c r="BM38" s="38" t="str">
        <f t="shared" si="8"/>
        <v/>
      </c>
      <c r="BN38" s="38" t="str">
        <f t="shared" si="9"/>
        <v/>
      </c>
      <c r="BO38" s="38" t="str">
        <f t="shared" si="10"/>
        <v/>
      </c>
      <c r="BP38" s="38" t="str">
        <f t="shared" si="11"/>
        <v/>
      </c>
      <c r="BQ38" s="38" t="str">
        <f t="shared" si="12"/>
        <v/>
      </c>
    </row>
    <row r="39" spans="1:69" ht="15.6" x14ac:dyDescent="0.3">
      <c r="A39" s="125"/>
      <c r="B39" s="397" t="str">
        <f>IF(ISBLANK(HLOOKUP($F$25,spelerslijsten!$B$1:$J$22,22,FALSE)),"",HLOOKUP($F$25,spelerslijsten!$B$1:$J$22,22,FALSE))</f>
        <v/>
      </c>
      <c r="C39" s="398"/>
      <c r="D39" s="126"/>
      <c r="E39" s="259" t="str">
        <f>IF(ISBLANK(HLOOKUP($F$25,spelerslijsten!$B$1:$J$22,21,FALSE)),"",HLOOKUP($F$25,spelerslijsten!$B$1:$J$22,21,FALSE))</f>
        <v/>
      </c>
      <c r="F39" s="126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08">
        <f t="shared" si="23"/>
        <v>0</v>
      </c>
      <c r="W39" s="109" t="str">
        <f t="shared" si="24"/>
        <v/>
      </c>
      <c r="X39" s="110" t="str">
        <f t="shared" si="25"/>
        <v/>
      </c>
      <c r="Y39" s="103" t="str">
        <f t="shared" si="26"/>
        <v/>
      </c>
      <c r="Z39" s="111"/>
      <c r="AA39" s="112"/>
      <c r="AB39" s="113" t="str">
        <f t="shared" si="16"/>
        <v>-</v>
      </c>
      <c r="AC39" s="112"/>
      <c r="AD39" s="114"/>
      <c r="AE39" s="115"/>
      <c r="AF39" s="115"/>
      <c r="AG39" s="116"/>
      <c r="AH39" s="117"/>
      <c r="AI39" s="117"/>
      <c r="AJ39" s="342"/>
      <c r="AK39" s="343"/>
      <c r="AL39" s="346"/>
      <c r="AM39" s="347"/>
      <c r="AN39" s="118"/>
      <c r="AO39" s="101" t="str">
        <f t="shared" si="19"/>
        <v/>
      </c>
      <c r="AP39" s="113" t="str">
        <f t="shared" si="20"/>
        <v>-</v>
      </c>
      <c r="AQ39" s="119"/>
      <c r="AR39" s="103" t="str">
        <f t="shared" si="21"/>
        <v/>
      </c>
      <c r="AT39" s="38" t="str">
        <f t="shared" si="27"/>
        <v>B</v>
      </c>
      <c r="AU39" s="38">
        <f t="shared" si="18"/>
        <v>0</v>
      </c>
      <c r="AY39" s="38" t="str">
        <f t="shared" si="1"/>
        <v/>
      </c>
      <c r="AZ39" s="38" t="str">
        <f t="shared" si="2"/>
        <v>0</v>
      </c>
      <c r="BA39" s="38" t="str">
        <f t="shared" si="3"/>
        <v>0</v>
      </c>
      <c r="BB39" s="38" t="str">
        <f t="shared" si="4"/>
        <v>0</v>
      </c>
      <c r="BC39" s="38">
        <f t="shared" si="5"/>
        <v>0</v>
      </c>
      <c r="BD39" s="38">
        <f t="shared" si="6"/>
        <v>0</v>
      </c>
      <c r="BL39" s="38" t="str">
        <f t="shared" si="7"/>
        <v/>
      </c>
      <c r="BM39" s="38" t="str">
        <f t="shared" si="8"/>
        <v/>
      </c>
      <c r="BN39" s="38" t="str">
        <f t="shared" si="9"/>
        <v/>
      </c>
      <c r="BO39" s="38" t="str">
        <f t="shared" si="10"/>
        <v/>
      </c>
      <c r="BP39" s="38" t="str">
        <f t="shared" si="11"/>
        <v/>
      </c>
      <c r="BQ39" s="38" t="str">
        <f t="shared" si="12"/>
        <v/>
      </c>
    </row>
    <row r="40" spans="1:69" ht="16.2" thickBot="1" x14ac:dyDescent="0.35">
      <c r="A40" s="71" t="s">
        <v>67</v>
      </c>
      <c r="B40" s="72"/>
      <c r="C40" s="72"/>
      <c r="D40" s="72"/>
      <c r="E40" s="72"/>
      <c r="F40" s="72"/>
      <c r="G40" s="72"/>
      <c r="H40" s="72"/>
      <c r="I40" s="399">
        <f>HLOOKUP(F25,spelerslijsten!B1:J25,25,FALSE)</f>
        <v>2</v>
      </c>
      <c r="J40" s="400"/>
      <c r="K40" s="74" t="s">
        <v>23</v>
      </c>
      <c r="L40" s="72"/>
      <c r="M40" s="72"/>
      <c r="N40" s="129" t="str">
        <f>HLOOKUP(F25,spelerslijsten!B1:J25,23,FALSE)</f>
        <v>Mieke Reijnders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30"/>
      <c r="Z40" s="111"/>
      <c r="AA40" s="112"/>
      <c r="AB40" s="113" t="str">
        <f t="shared" si="16"/>
        <v>-</v>
      </c>
      <c r="AC40" s="112"/>
      <c r="AD40" s="114"/>
      <c r="AE40" s="115"/>
      <c r="AF40" s="115"/>
      <c r="AG40" s="116"/>
      <c r="AH40" s="117"/>
      <c r="AI40" s="117"/>
      <c r="AJ40" s="342"/>
      <c r="AK40" s="343"/>
      <c r="AL40" s="346"/>
      <c r="AM40" s="347"/>
      <c r="AN40" s="118"/>
      <c r="AO40" s="101" t="str">
        <f t="shared" si="19"/>
        <v/>
      </c>
      <c r="AP40" s="113" t="str">
        <f t="shared" si="20"/>
        <v>-</v>
      </c>
      <c r="AQ40" s="119"/>
      <c r="AR40" s="103" t="str">
        <f t="shared" si="21"/>
        <v/>
      </c>
      <c r="AY40" s="38" t="str">
        <f t="shared" si="1"/>
        <v/>
      </c>
      <c r="AZ40" s="38" t="str">
        <f t="shared" si="2"/>
        <v>0</v>
      </c>
      <c r="BA40" s="38" t="str">
        <f t="shared" si="3"/>
        <v>0</v>
      </c>
      <c r="BB40" s="38" t="str">
        <f t="shared" si="4"/>
        <v>0</v>
      </c>
      <c r="BC40" s="38">
        <f t="shared" si="5"/>
        <v>0</v>
      </c>
      <c r="BD40" s="38">
        <f t="shared" si="6"/>
        <v>0</v>
      </c>
      <c r="BL40" s="38" t="str">
        <f t="shared" si="7"/>
        <v/>
      </c>
      <c r="BM40" s="38" t="str">
        <f t="shared" si="8"/>
        <v/>
      </c>
      <c r="BN40" s="38" t="str">
        <f t="shared" si="9"/>
        <v/>
      </c>
      <c r="BO40" s="38" t="str">
        <f t="shared" si="10"/>
        <v/>
      </c>
      <c r="BP40" s="38" t="str">
        <f t="shared" si="11"/>
        <v/>
      </c>
      <c r="BQ40" s="38" t="str">
        <f t="shared" si="12"/>
        <v/>
      </c>
    </row>
    <row r="41" spans="1:69" ht="15.6" x14ac:dyDescent="0.3">
      <c r="A41" s="157" t="s">
        <v>68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158"/>
      <c r="Z41" s="111"/>
      <c r="AA41" s="112"/>
      <c r="AB41" s="113" t="str">
        <f t="shared" si="16"/>
        <v>-</v>
      </c>
      <c r="AC41" s="112"/>
      <c r="AD41" s="114"/>
      <c r="AE41" s="115"/>
      <c r="AF41" s="115"/>
      <c r="AG41" s="116"/>
      <c r="AH41" s="117"/>
      <c r="AI41" s="117"/>
      <c r="AJ41" s="342"/>
      <c r="AK41" s="343"/>
      <c r="AL41" s="346"/>
      <c r="AM41" s="347"/>
      <c r="AN41" s="118"/>
      <c r="AO41" s="101" t="str">
        <f t="shared" si="19"/>
        <v/>
      </c>
      <c r="AP41" s="113" t="str">
        <f t="shared" si="20"/>
        <v>-</v>
      </c>
      <c r="AQ41" s="119"/>
      <c r="AR41" s="103" t="str">
        <f t="shared" si="21"/>
        <v/>
      </c>
      <c r="AY41" s="38" t="str">
        <f t="shared" si="1"/>
        <v/>
      </c>
      <c r="AZ41" s="38" t="str">
        <f t="shared" si="2"/>
        <v>0</v>
      </c>
      <c r="BA41" s="38" t="str">
        <f t="shared" si="3"/>
        <v>0</v>
      </c>
      <c r="BB41" s="38" t="str">
        <f t="shared" si="4"/>
        <v>0</v>
      </c>
      <c r="BC41" s="38">
        <f t="shared" si="5"/>
        <v>0</v>
      </c>
      <c r="BD41" s="38">
        <f t="shared" si="6"/>
        <v>0</v>
      </c>
      <c r="BL41" s="38" t="str">
        <f t="shared" si="7"/>
        <v/>
      </c>
      <c r="BM41" s="38" t="str">
        <f t="shared" si="8"/>
        <v/>
      </c>
      <c r="BN41" s="38" t="str">
        <f t="shared" si="9"/>
        <v/>
      </c>
      <c r="BO41" s="38" t="str">
        <f t="shared" si="10"/>
        <v/>
      </c>
      <c r="BP41" s="38" t="str">
        <f t="shared" si="11"/>
        <v/>
      </c>
      <c r="BQ41" s="38" t="str">
        <f t="shared" si="12"/>
        <v/>
      </c>
    </row>
    <row r="42" spans="1:69" ht="15.6" x14ac:dyDescent="0.3">
      <c r="A42" s="15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60"/>
      <c r="Z42" s="111"/>
      <c r="AA42" s="112"/>
      <c r="AB42" s="113" t="str">
        <f t="shared" si="16"/>
        <v>-</v>
      </c>
      <c r="AC42" s="112"/>
      <c r="AD42" s="114"/>
      <c r="AE42" s="115"/>
      <c r="AF42" s="115"/>
      <c r="AG42" s="116"/>
      <c r="AH42" s="117"/>
      <c r="AI42" s="117"/>
      <c r="AJ42" s="342"/>
      <c r="AK42" s="343"/>
      <c r="AL42" s="346"/>
      <c r="AM42" s="347"/>
      <c r="AN42" s="118"/>
      <c r="AO42" s="101" t="str">
        <f t="shared" si="19"/>
        <v/>
      </c>
      <c r="AP42" s="113" t="str">
        <f t="shared" si="20"/>
        <v>-</v>
      </c>
      <c r="AQ42" s="119"/>
      <c r="AR42" s="103" t="str">
        <f t="shared" si="21"/>
        <v/>
      </c>
      <c r="AY42" s="38" t="str">
        <f t="shared" si="1"/>
        <v/>
      </c>
      <c r="AZ42" s="38" t="str">
        <f t="shared" si="2"/>
        <v>0</v>
      </c>
      <c r="BA42" s="38" t="str">
        <f t="shared" si="3"/>
        <v>0</v>
      </c>
      <c r="BB42" s="38" t="str">
        <f t="shared" si="4"/>
        <v>0</v>
      </c>
      <c r="BC42" s="38">
        <f t="shared" si="5"/>
        <v>0</v>
      </c>
      <c r="BD42" s="38">
        <f t="shared" si="6"/>
        <v>0</v>
      </c>
      <c r="BL42" s="38" t="str">
        <f t="shared" si="7"/>
        <v/>
      </c>
      <c r="BM42" s="38" t="str">
        <f t="shared" si="8"/>
        <v/>
      </c>
      <c r="BN42" s="38" t="str">
        <f t="shared" si="9"/>
        <v/>
      </c>
      <c r="BO42" s="38" t="str">
        <f t="shared" si="10"/>
        <v/>
      </c>
      <c r="BP42" s="38" t="str">
        <f t="shared" si="11"/>
        <v/>
      </c>
      <c r="BQ42" s="38" t="str">
        <f t="shared" si="12"/>
        <v/>
      </c>
    </row>
    <row r="43" spans="1:69" ht="15.6" x14ac:dyDescent="0.3">
      <c r="A43" s="16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62"/>
      <c r="Z43" s="111"/>
      <c r="AA43" s="112"/>
      <c r="AB43" s="113" t="str">
        <f t="shared" si="16"/>
        <v>-</v>
      </c>
      <c r="AC43" s="112"/>
      <c r="AD43" s="114"/>
      <c r="AE43" s="115"/>
      <c r="AF43" s="115"/>
      <c r="AG43" s="116"/>
      <c r="AH43" s="117"/>
      <c r="AI43" s="117"/>
      <c r="AJ43" s="342"/>
      <c r="AK43" s="343"/>
      <c r="AL43" s="346"/>
      <c r="AM43" s="347"/>
      <c r="AN43" s="118"/>
      <c r="AO43" s="101" t="str">
        <f t="shared" si="19"/>
        <v/>
      </c>
      <c r="AP43" s="113" t="str">
        <f t="shared" si="20"/>
        <v>-</v>
      </c>
      <c r="AQ43" s="119"/>
      <c r="AR43" s="103" t="str">
        <f t="shared" si="21"/>
        <v/>
      </c>
      <c r="AY43" s="38" t="str">
        <f t="shared" si="1"/>
        <v/>
      </c>
      <c r="AZ43" s="38" t="str">
        <f t="shared" si="2"/>
        <v>0</v>
      </c>
      <c r="BA43" s="38" t="str">
        <f t="shared" si="3"/>
        <v>0</v>
      </c>
      <c r="BB43" s="38" t="str">
        <f t="shared" si="4"/>
        <v>0</v>
      </c>
      <c r="BC43" s="38">
        <f t="shared" si="5"/>
        <v>0</v>
      </c>
      <c r="BD43" s="38">
        <f t="shared" si="6"/>
        <v>0</v>
      </c>
      <c r="BL43" s="38" t="str">
        <f t="shared" si="7"/>
        <v/>
      </c>
      <c r="BM43" s="38" t="str">
        <f t="shared" si="8"/>
        <v/>
      </c>
      <c r="BN43" s="38" t="str">
        <f t="shared" si="9"/>
        <v/>
      </c>
      <c r="BO43" s="38" t="str">
        <f t="shared" si="10"/>
        <v/>
      </c>
      <c r="BP43" s="38" t="str">
        <f t="shared" si="11"/>
        <v/>
      </c>
      <c r="BQ43" s="38" t="str">
        <f t="shared" si="12"/>
        <v/>
      </c>
    </row>
    <row r="44" spans="1:69" ht="15.6" x14ac:dyDescent="0.3">
      <c r="A44" s="16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62"/>
      <c r="Z44" s="111"/>
      <c r="AA44" s="112"/>
      <c r="AB44" s="113" t="str">
        <f t="shared" si="16"/>
        <v>-</v>
      </c>
      <c r="AC44" s="112"/>
      <c r="AD44" s="114"/>
      <c r="AE44" s="115"/>
      <c r="AF44" s="115"/>
      <c r="AG44" s="116"/>
      <c r="AH44" s="117"/>
      <c r="AI44" s="117"/>
      <c r="AJ44" s="342"/>
      <c r="AK44" s="343"/>
      <c r="AL44" s="346"/>
      <c r="AM44" s="347"/>
      <c r="AN44" s="118"/>
      <c r="AO44" s="101" t="str">
        <f t="shared" si="19"/>
        <v/>
      </c>
      <c r="AP44" s="113" t="str">
        <f t="shared" si="20"/>
        <v>-</v>
      </c>
      <c r="AQ44" s="119"/>
      <c r="AR44" s="103" t="str">
        <f t="shared" si="21"/>
        <v/>
      </c>
      <c r="AY44" s="38" t="str">
        <f t="shared" si="1"/>
        <v/>
      </c>
      <c r="AZ44" s="38" t="str">
        <f t="shared" si="2"/>
        <v>0</v>
      </c>
      <c r="BA44" s="38" t="str">
        <f t="shared" si="3"/>
        <v>0</v>
      </c>
      <c r="BB44" s="38" t="str">
        <f t="shared" si="4"/>
        <v>0</v>
      </c>
      <c r="BC44" s="38">
        <f t="shared" si="5"/>
        <v>0</v>
      </c>
      <c r="BD44" s="38">
        <f t="shared" si="6"/>
        <v>0</v>
      </c>
      <c r="BL44" s="38" t="str">
        <f t="shared" si="7"/>
        <v/>
      </c>
      <c r="BM44" s="38" t="str">
        <f t="shared" si="8"/>
        <v/>
      </c>
      <c r="BN44" s="38" t="str">
        <f t="shared" si="9"/>
        <v/>
      </c>
      <c r="BO44" s="38" t="str">
        <f t="shared" si="10"/>
        <v/>
      </c>
      <c r="BP44" s="38" t="str">
        <f t="shared" si="11"/>
        <v/>
      </c>
      <c r="BQ44" s="38" t="str">
        <f t="shared" si="12"/>
        <v/>
      </c>
    </row>
    <row r="45" spans="1:69" ht="15.6" x14ac:dyDescent="0.3">
      <c r="A45" s="16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62"/>
      <c r="Z45" s="111"/>
      <c r="AA45" s="112"/>
      <c r="AB45" s="113" t="str">
        <f>+AB44</f>
        <v>-</v>
      </c>
      <c r="AC45" s="112"/>
      <c r="AD45" s="114"/>
      <c r="AE45" s="115"/>
      <c r="AF45" s="115"/>
      <c r="AG45" s="116"/>
      <c r="AH45" s="117"/>
      <c r="AI45" s="117"/>
      <c r="AJ45" s="342"/>
      <c r="AK45" s="343"/>
      <c r="AL45" s="346"/>
      <c r="AM45" s="347"/>
      <c r="AN45" s="118"/>
      <c r="AO45" s="101" t="str">
        <f t="shared" si="19"/>
        <v/>
      </c>
      <c r="AP45" s="113" t="str">
        <f t="shared" si="20"/>
        <v>-</v>
      </c>
      <c r="AQ45" s="119"/>
      <c r="AR45" s="103" t="str">
        <f t="shared" si="21"/>
        <v/>
      </c>
      <c r="AY45" s="38" t="str">
        <f t="shared" si="1"/>
        <v/>
      </c>
      <c r="AZ45" s="38" t="str">
        <f t="shared" si="2"/>
        <v>0</v>
      </c>
      <c r="BA45" s="38" t="str">
        <f t="shared" si="3"/>
        <v>0</v>
      </c>
      <c r="BB45" s="38" t="str">
        <f t="shared" si="4"/>
        <v>0</v>
      </c>
      <c r="BC45" s="38">
        <f t="shared" si="5"/>
        <v>0</v>
      </c>
      <c r="BD45" s="38">
        <f t="shared" si="6"/>
        <v>0</v>
      </c>
      <c r="BL45" s="38" t="str">
        <f t="shared" si="7"/>
        <v/>
      </c>
      <c r="BM45" s="38" t="str">
        <f t="shared" si="8"/>
        <v/>
      </c>
      <c r="BN45" s="38" t="str">
        <f t="shared" si="9"/>
        <v/>
      </c>
      <c r="BO45" s="38" t="str">
        <f t="shared" si="10"/>
        <v/>
      </c>
      <c r="BP45" s="38" t="str">
        <f t="shared" si="11"/>
        <v/>
      </c>
      <c r="BQ45" s="38" t="str">
        <f t="shared" si="12"/>
        <v/>
      </c>
    </row>
    <row r="46" spans="1:69" ht="16.2" thickBot="1" x14ac:dyDescent="0.35">
      <c r="A46" s="163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64"/>
      <c r="Z46" s="165"/>
      <c r="AA46" s="166"/>
      <c r="AB46" s="167" t="str">
        <f>+AB45</f>
        <v>-</v>
      </c>
      <c r="AC46" s="166"/>
      <c r="AD46" s="168"/>
      <c r="AE46" s="169"/>
      <c r="AF46" s="169"/>
      <c r="AG46" s="170"/>
      <c r="AH46" s="171"/>
      <c r="AI46" s="171"/>
      <c r="AJ46" s="344"/>
      <c r="AK46" s="345"/>
      <c r="AL46" s="352"/>
      <c r="AM46" s="353"/>
      <c r="AN46" s="172"/>
      <c r="AO46" s="101" t="str">
        <f t="shared" si="19"/>
        <v/>
      </c>
      <c r="AP46" s="113" t="str">
        <f t="shared" si="20"/>
        <v>-</v>
      </c>
      <c r="AQ46" s="119"/>
      <c r="AR46" s="103" t="str">
        <f t="shared" si="21"/>
        <v/>
      </c>
      <c r="AY46" s="38" t="str">
        <f t="shared" si="1"/>
        <v/>
      </c>
      <c r="AZ46" s="38" t="str">
        <f t="shared" si="2"/>
        <v>0</v>
      </c>
      <c r="BA46" s="38" t="str">
        <f t="shared" si="3"/>
        <v>0</v>
      </c>
      <c r="BB46" s="38" t="str">
        <f t="shared" si="4"/>
        <v>0</v>
      </c>
      <c r="BC46" s="38">
        <f t="shared" si="5"/>
        <v>0</v>
      </c>
      <c r="BD46" s="38">
        <f t="shared" si="6"/>
        <v>0</v>
      </c>
      <c r="BL46" s="38" t="str">
        <f t="shared" si="7"/>
        <v/>
      </c>
      <c r="BM46" s="38" t="str">
        <f t="shared" si="8"/>
        <v/>
      </c>
      <c r="BN46" s="38" t="str">
        <f t="shared" si="9"/>
        <v/>
      </c>
      <c r="BO46" s="38" t="str">
        <f t="shared" si="10"/>
        <v/>
      </c>
      <c r="BP46" s="38" t="str">
        <f t="shared" si="11"/>
        <v/>
      </c>
      <c r="BQ46" s="38" t="str">
        <f t="shared" si="12"/>
        <v/>
      </c>
    </row>
    <row r="47" spans="1:69" ht="18.600000000000001" thickBot="1" x14ac:dyDescent="0.35">
      <c r="A47" s="173" t="s">
        <v>69</v>
      </c>
      <c r="B47" s="174"/>
      <c r="C47" s="174"/>
      <c r="D47" s="174"/>
      <c r="E47" s="174"/>
      <c r="F47" s="174"/>
      <c r="G47" s="174">
        <f>IF(AO52&gt;AR52,AO52,IF(AO52=AR52,AO52,AR52))</f>
        <v>6</v>
      </c>
      <c r="H47" s="175" t="s">
        <v>16</v>
      </c>
      <c r="I47" s="174">
        <f>IF(AO52&gt;AR52,AR52,IF(AO52=AR52,AR52,AO52))</f>
        <v>1</v>
      </c>
      <c r="J47" s="174"/>
      <c r="K47" s="174" t="s">
        <v>70</v>
      </c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6" t="str">
        <f>BE52</f>
        <v>WIT</v>
      </c>
      <c r="W47" s="174"/>
      <c r="X47" s="174"/>
      <c r="Y47" s="174"/>
      <c r="Z47" s="174"/>
      <c r="AA47" s="174"/>
      <c r="AB47" s="174"/>
      <c r="AC47" s="174"/>
      <c r="AD47" s="177"/>
      <c r="AE47" s="178" t="s">
        <v>71</v>
      </c>
      <c r="AF47" s="179"/>
      <c r="AG47" s="179"/>
      <c r="AH47" s="179"/>
      <c r="AI47" s="179"/>
      <c r="AJ47" s="174"/>
      <c r="AK47" s="174"/>
      <c r="AL47" s="403" t="s">
        <v>177</v>
      </c>
      <c r="AM47" s="404"/>
      <c r="AN47" s="404"/>
      <c r="AO47" s="404"/>
      <c r="AP47" s="404"/>
      <c r="AQ47" s="404"/>
      <c r="AR47" s="405"/>
    </row>
    <row r="48" spans="1:69" x14ac:dyDescent="0.3">
      <c r="A48" s="180" t="s">
        <v>72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2"/>
      <c r="P48" s="183" t="s">
        <v>72</v>
      </c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2"/>
      <c r="AC48" s="181"/>
      <c r="AD48" s="184"/>
      <c r="AE48" s="185" t="s">
        <v>72</v>
      </c>
      <c r="AF48" s="186"/>
      <c r="AG48" s="186"/>
      <c r="AH48" s="186"/>
      <c r="AI48" s="186"/>
      <c r="AJ48" s="181"/>
      <c r="AK48" s="181"/>
      <c r="AL48" s="181"/>
      <c r="AM48" s="181"/>
      <c r="AN48" s="181"/>
      <c r="AO48" s="186"/>
      <c r="AP48" s="181"/>
      <c r="AQ48" s="181"/>
      <c r="AR48" s="187"/>
    </row>
    <row r="49" spans="1:57" x14ac:dyDescent="0.3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/>
      <c r="P49" s="191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90"/>
      <c r="AC49" s="189"/>
      <c r="AD49" s="192"/>
      <c r="AE49" s="193"/>
      <c r="AF49" s="193"/>
      <c r="AG49" s="193"/>
      <c r="AH49" s="193"/>
      <c r="AI49" s="193"/>
      <c r="AJ49" s="189"/>
      <c r="AK49" s="189"/>
      <c r="AL49" s="189"/>
      <c r="AM49" s="189"/>
      <c r="AN49" s="189"/>
      <c r="AO49" s="193"/>
      <c r="AP49" s="189"/>
      <c r="AQ49" s="189"/>
      <c r="AR49" s="194"/>
    </row>
    <row r="50" spans="1:57" ht="14.4" thickBot="1" x14ac:dyDescent="0.3">
      <c r="A50" s="195" t="s">
        <v>73</v>
      </c>
      <c r="B50" s="196"/>
      <c r="C50" s="196"/>
      <c r="D50" s="196"/>
      <c r="E50" s="196"/>
      <c r="F50" s="196"/>
      <c r="G50" s="196"/>
      <c r="H50" s="197" t="s">
        <v>74</v>
      </c>
      <c r="I50" s="196"/>
      <c r="J50" s="196"/>
      <c r="K50" s="196"/>
      <c r="L50" s="196"/>
      <c r="M50" s="196"/>
      <c r="N50" s="196"/>
      <c r="O50" s="198"/>
      <c r="P50" s="199" t="s">
        <v>73</v>
      </c>
      <c r="Q50" s="196"/>
      <c r="R50" s="196"/>
      <c r="S50" s="196"/>
      <c r="T50" s="196"/>
      <c r="U50" s="196"/>
      <c r="V50" s="196"/>
      <c r="W50" s="197" t="s">
        <v>75</v>
      </c>
      <c r="X50" s="196"/>
      <c r="Y50" s="196"/>
      <c r="Z50" s="196"/>
      <c r="AA50" s="196"/>
      <c r="AB50" s="198"/>
      <c r="AC50" s="196"/>
      <c r="AD50" s="200"/>
      <c r="AE50" s="201" t="s">
        <v>25</v>
      </c>
      <c r="AF50" s="202"/>
      <c r="AG50" s="202"/>
      <c r="AH50" s="202"/>
      <c r="AI50" s="202"/>
      <c r="AJ50" s="203"/>
      <c r="AK50" s="203"/>
      <c r="AL50" s="203"/>
      <c r="AM50" s="203"/>
      <c r="AN50" s="203"/>
      <c r="AO50" s="202"/>
      <c r="AP50" s="203"/>
      <c r="AQ50" s="203"/>
      <c r="AR50" s="204"/>
    </row>
    <row r="52" spans="1:57" hidden="1" x14ac:dyDescent="0.3">
      <c r="AO52" s="40">
        <f>IF(AO13="","",MAX(AO13:AO46))</f>
        <v>6</v>
      </c>
      <c r="AR52" s="40">
        <f>IF(AR13="","",MAX(AR13:AR46))</f>
        <v>1</v>
      </c>
      <c r="AS52" s="38" t="str">
        <f>IF(AO13="","0","1")</f>
        <v>1</v>
      </c>
      <c r="BE52" s="38" t="str">
        <f>IF(AS52="0","WIT/BLAUW",IF(AO52&gt;AR52,"WIT",IF(AO52=AR52,"GELIJK","BLAUW")))</f>
        <v>WIT</v>
      </c>
    </row>
  </sheetData>
  <sheetProtection sheet="1" objects="1" scenarios="1"/>
  <mergeCells count="107">
    <mergeCell ref="AJ46:AK46"/>
    <mergeCell ref="AL46:AM46"/>
    <mergeCell ref="AL47:AR47"/>
    <mergeCell ref="AJ43:AK43"/>
    <mergeCell ref="AL43:AM43"/>
    <mergeCell ref="AJ44:AK44"/>
    <mergeCell ref="AL44:AM44"/>
    <mergeCell ref="AJ45:AK45"/>
    <mergeCell ref="AL45:AM45"/>
    <mergeCell ref="I40:J40"/>
    <mergeCell ref="AJ40:AK40"/>
    <mergeCell ref="AL40:AM40"/>
    <mergeCell ref="AJ41:AK41"/>
    <mergeCell ref="AL41:AM41"/>
    <mergeCell ref="AJ42:AK42"/>
    <mergeCell ref="AL42:AM42"/>
    <mergeCell ref="B38:C38"/>
    <mergeCell ref="AJ38:AK38"/>
    <mergeCell ref="AL38:AM38"/>
    <mergeCell ref="B39:C39"/>
    <mergeCell ref="AJ39:AK39"/>
    <mergeCell ref="AL39:AM39"/>
    <mergeCell ref="B36:C36"/>
    <mergeCell ref="AJ36:AK36"/>
    <mergeCell ref="AL36:AM36"/>
    <mergeCell ref="B37:C37"/>
    <mergeCell ref="AJ37:AK37"/>
    <mergeCell ref="AL37:AM37"/>
    <mergeCell ref="B34:C34"/>
    <mergeCell ref="AJ34:AK34"/>
    <mergeCell ref="AL34:AM34"/>
    <mergeCell ref="B35:C35"/>
    <mergeCell ref="AJ35:AK35"/>
    <mergeCell ref="AL35:AM35"/>
    <mergeCell ref="B32:C32"/>
    <mergeCell ref="AJ32:AK32"/>
    <mergeCell ref="AL32:AM32"/>
    <mergeCell ref="B33:C33"/>
    <mergeCell ref="AJ33:AK33"/>
    <mergeCell ref="AL33:AM33"/>
    <mergeCell ref="AJ29:AK29"/>
    <mergeCell ref="AL29:AM29"/>
    <mergeCell ref="B30:C30"/>
    <mergeCell ref="AJ30:AK30"/>
    <mergeCell ref="AL30:AM30"/>
    <mergeCell ref="B31:C31"/>
    <mergeCell ref="AJ31:AK31"/>
    <mergeCell ref="AL31:AM31"/>
    <mergeCell ref="A26:D28"/>
    <mergeCell ref="AJ26:AK26"/>
    <mergeCell ref="AL26:AM26"/>
    <mergeCell ref="AJ27:AK27"/>
    <mergeCell ref="AL27:AM27"/>
    <mergeCell ref="AJ28:AK28"/>
    <mergeCell ref="AL28:AM28"/>
    <mergeCell ref="I24:J24"/>
    <mergeCell ref="AJ24:AK24"/>
    <mergeCell ref="AL24:AM24"/>
    <mergeCell ref="F25:Y28"/>
    <mergeCell ref="AJ25:AK25"/>
    <mergeCell ref="AL25:AM25"/>
    <mergeCell ref="B22:C22"/>
    <mergeCell ref="AJ22:AK22"/>
    <mergeCell ref="AL22:AM22"/>
    <mergeCell ref="B23:C23"/>
    <mergeCell ref="AJ23:AK23"/>
    <mergeCell ref="AL23:AM23"/>
    <mergeCell ref="B20:C20"/>
    <mergeCell ref="AJ20:AK20"/>
    <mergeCell ref="AL20:AM20"/>
    <mergeCell ref="B21:C21"/>
    <mergeCell ref="AJ21:AK21"/>
    <mergeCell ref="AL21:AM21"/>
    <mergeCell ref="B18:C18"/>
    <mergeCell ref="AJ18:AK18"/>
    <mergeCell ref="AL18:AM18"/>
    <mergeCell ref="B19:C19"/>
    <mergeCell ref="AJ19:AK19"/>
    <mergeCell ref="AL19:AM19"/>
    <mergeCell ref="B16:C16"/>
    <mergeCell ref="AJ16:AK16"/>
    <mergeCell ref="AL16:AM16"/>
    <mergeCell ref="B17:C17"/>
    <mergeCell ref="AJ17:AK17"/>
    <mergeCell ref="AL17:AM17"/>
    <mergeCell ref="AJ13:AK13"/>
    <mergeCell ref="AL13:AM13"/>
    <mergeCell ref="B14:C14"/>
    <mergeCell ref="AJ14:AK14"/>
    <mergeCell ref="AL14:AM14"/>
    <mergeCell ref="B15:C15"/>
    <mergeCell ref="AJ15:AK15"/>
    <mergeCell ref="AL15:AM15"/>
    <mergeCell ref="F10:Y12"/>
    <mergeCell ref="Z10:AD12"/>
    <mergeCell ref="AJ10:AK12"/>
    <mergeCell ref="AL10:AM12"/>
    <mergeCell ref="AN10:AR11"/>
    <mergeCell ref="A11:D12"/>
    <mergeCell ref="AN12:AO12"/>
    <mergeCell ref="AQ12:AR12"/>
    <mergeCell ref="D3:N3"/>
    <mergeCell ref="D4:E4"/>
    <mergeCell ref="G4:I4"/>
    <mergeCell ref="K4:M4"/>
    <mergeCell ref="BF4:BI6"/>
    <mergeCell ref="AH6:AR6"/>
  </mergeCells>
  <dataValidations count="1">
    <dataValidation type="list" allowBlank="1" showInputMessage="1" showErrorMessage="1" sqref="AL47:AR47" xr:uid="{C0266CA8-4E19-4B1D-BC89-4D0AC04562BE}">
      <formula1>"JA/NEE,JA,NEE"</formula1>
    </dataValidation>
  </dataValidations>
  <hyperlinks>
    <hyperlink ref="BF4:BI6" location="Wedstrijden!A1" display="Wedstrijdschema" xr:uid="{26562031-CD4F-43F4-909D-DB408C5228B1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FD007-6F80-4351-A8CD-AFD12ADD9812}">
  <dimension ref="A1:IV52"/>
  <sheetViews>
    <sheetView workbookViewId="0">
      <selection activeCell="BF4" sqref="BF4:BI6"/>
    </sheetView>
  </sheetViews>
  <sheetFormatPr defaultRowHeight="13.8" x14ac:dyDescent="0.3"/>
  <cols>
    <col min="1" max="6" width="2.33203125" style="38" customWidth="1"/>
    <col min="7" max="7" width="3.33203125" style="38" customWidth="1"/>
    <col min="8" max="8" width="2.33203125" style="38" customWidth="1"/>
    <col min="9" max="9" width="3.33203125" style="38" customWidth="1"/>
    <col min="10" max="25" width="2.33203125" style="38" customWidth="1"/>
    <col min="26" max="28" width="2.109375" style="38" customWidth="1"/>
    <col min="29" max="29" width="3" style="38" customWidth="1"/>
    <col min="30" max="30" width="2.109375" style="39" customWidth="1"/>
    <col min="31" max="35" width="2.33203125" style="40" customWidth="1"/>
    <col min="36" max="39" width="2.33203125" style="38" customWidth="1"/>
    <col min="40" max="40" width="2.109375" style="38" customWidth="1"/>
    <col min="41" max="41" width="3.33203125" style="40" customWidth="1"/>
    <col min="42" max="43" width="2.109375" style="38" customWidth="1"/>
    <col min="44" max="44" width="3.33203125" style="40" customWidth="1"/>
    <col min="45" max="45" width="8.88671875" style="38"/>
    <col min="46" max="56" width="9.109375" style="38" hidden="1" customWidth="1"/>
    <col min="57" max="62" width="8.88671875" style="38"/>
    <col min="63" max="69" width="0" style="38" hidden="1" customWidth="1"/>
    <col min="70" max="256" width="8.88671875" style="38"/>
    <col min="257" max="281" width="2.33203125" style="38" customWidth="1"/>
    <col min="282" max="286" width="2.109375" style="38" customWidth="1"/>
    <col min="287" max="295" width="2.33203125" style="38" customWidth="1"/>
    <col min="296" max="300" width="2.109375" style="38" customWidth="1"/>
    <col min="301" max="512" width="8.88671875" style="38"/>
    <col min="513" max="537" width="2.33203125" style="38" customWidth="1"/>
    <col min="538" max="542" width="2.109375" style="38" customWidth="1"/>
    <col min="543" max="551" width="2.33203125" style="38" customWidth="1"/>
    <col min="552" max="556" width="2.109375" style="38" customWidth="1"/>
    <col min="557" max="768" width="8.88671875" style="38"/>
    <col min="769" max="793" width="2.33203125" style="38" customWidth="1"/>
    <col min="794" max="798" width="2.109375" style="38" customWidth="1"/>
    <col min="799" max="807" width="2.33203125" style="38" customWidth="1"/>
    <col min="808" max="812" width="2.109375" style="38" customWidth="1"/>
    <col min="813" max="1024" width="8.88671875" style="38"/>
    <col min="1025" max="1049" width="2.33203125" style="38" customWidth="1"/>
    <col min="1050" max="1054" width="2.109375" style="38" customWidth="1"/>
    <col min="1055" max="1063" width="2.33203125" style="38" customWidth="1"/>
    <col min="1064" max="1068" width="2.109375" style="38" customWidth="1"/>
    <col min="1069" max="1280" width="8.88671875" style="38"/>
    <col min="1281" max="1305" width="2.33203125" style="38" customWidth="1"/>
    <col min="1306" max="1310" width="2.109375" style="38" customWidth="1"/>
    <col min="1311" max="1319" width="2.33203125" style="38" customWidth="1"/>
    <col min="1320" max="1324" width="2.109375" style="38" customWidth="1"/>
    <col min="1325" max="1536" width="8.88671875" style="38"/>
    <col min="1537" max="1561" width="2.33203125" style="38" customWidth="1"/>
    <col min="1562" max="1566" width="2.109375" style="38" customWidth="1"/>
    <col min="1567" max="1575" width="2.33203125" style="38" customWidth="1"/>
    <col min="1576" max="1580" width="2.109375" style="38" customWidth="1"/>
    <col min="1581" max="1792" width="8.88671875" style="38"/>
    <col min="1793" max="1817" width="2.33203125" style="38" customWidth="1"/>
    <col min="1818" max="1822" width="2.109375" style="38" customWidth="1"/>
    <col min="1823" max="1831" width="2.33203125" style="38" customWidth="1"/>
    <col min="1832" max="1836" width="2.109375" style="38" customWidth="1"/>
    <col min="1837" max="2048" width="8.88671875" style="38"/>
    <col min="2049" max="2073" width="2.33203125" style="38" customWidth="1"/>
    <col min="2074" max="2078" width="2.109375" style="38" customWidth="1"/>
    <col min="2079" max="2087" width="2.33203125" style="38" customWidth="1"/>
    <col min="2088" max="2092" width="2.109375" style="38" customWidth="1"/>
    <col min="2093" max="2304" width="8.88671875" style="38"/>
    <col min="2305" max="2329" width="2.33203125" style="38" customWidth="1"/>
    <col min="2330" max="2334" width="2.109375" style="38" customWidth="1"/>
    <col min="2335" max="2343" width="2.33203125" style="38" customWidth="1"/>
    <col min="2344" max="2348" width="2.109375" style="38" customWidth="1"/>
    <col min="2349" max="2560" width="8.88671875" style="38"/>
    <col min="2561" max="2585" width="2.33203125" style="38" customWidth="1"/>
    <col min="2586" max="2590" width="2.109375" style="38" customWidth="1"/>
    <col min="2591" max="2599" width="2.33203125" style="38" customWidth="1"/>
    <col min="2600" max="2604" width="2.109375" style="38" customWidth="1"/>
    <col min="2605" max="2816" width="8.88671875" style="38"/>
    <col min="2817" max="2841" width="2.33203125" style="38" customWidth="1"/>
    <col min="2842" max="2846" width="2.109375" style="38" customWidth="1"/>
    <col min="2847" max="2855" width="2.33203125" style="38" customWidth="1"/>
    <col min="2856" max="2860" width="2.109375" style="38" customWidth="1"/>
    <col min="2861" max="3072" width="8.88671875" style="38"/>
    <col min="3073" max="3097" width="2.33203125" style="38" customWidth="1"/>
    <col min="3098" max="3102" width="2.109375" style="38" customWidth="1"/>
    <col min="3103" max="3111" width="2.33203125" style="38" customWidth="1"/>
    <col min="3112" max="3116" width="2.109375" style="38" customWidth="1"/>
    <col min="3117" max="3328" width="8.88671875" style="38"/>
    <col min="3329" max="3353" width="2.33203125" style="38" customWidth="1"/>
    <col min="3354" max="3358" width="2.109375" style="38" customWidth="1"/>
    <col min="3359" max="3367" width="2.33203125" style="38" customWidth="1"/>
    <col min="3368" max="3372" width="2.109375" style="38" customWidth="1"/>
    <col min="3373" max="3584" width="8.88671875" style="38"/>
    <col min="3585" max="3609" width="2.33203125" style="38" customWidth="1"/>
    <col min="3610" max="3614" width="2.109375" style="38" customWidth="1"/>
    <col min="3615" max="3623" width="2.33203125" style="38" customWidth="1"/>
    <col min="3624" max="3628" width="2.109375" style="38" customWidth="1"/>
    <col min="3629" max="3840" width="8.88671875" style="38"/>
    <col min="3841" max="3865" width="2.33203125" style="38" customWidth="1"/>
    <col min="3866" max="3870" width="2.109375" style="38" customWidth="1"/>
    <col min="3871" max="3879" width="2.33203125" style="38" customWidth="1"/>
    <col min="3880" max="3884" width="2.109375" style="38" customWidth="1"/>
    <col min="3885" max="4096" width="8.88671875" style="38"/>
    <col min="4097" max="4121" width="2.33203125" style="38" customWidth="1"/>
    <col min="4122" max="4126" width="2.109375" style="38" customWidth="1"/>
    <col min="4127" max="4135" width="2.33203125" style="38" customWidth="1"/>
    <col min="4136" max="4140" width="2.109375" style="38" customWidth="1"/>
    <col min="4141" max="4352" width="8.88671875" style="38"/>
    <col min="4353" max="4377" width="2.33203125" style="38" customWidth="1"/>
    <col min="4378" max="4382" width="2.109375" style="38" customWidth="1"/>
    <col min="4383" max="4391" width="2.33203125" style="38" customWidth="1"/>
    <col min="4392" max="4396" width="2.109375" style="38" customWidth="1"/>
    <col min="4397" max="4608" width="8.88671875" style="38"/>
    <col min="4609" max="4633" width="2.33203125" style="38" customWidth="1"/>
    <col min="4634" max="4638" width="2.109375" style="38" customWidth="1"/>
    <col min="4639" max="4647" width="2.33203125" style="38" customWidth="1"/>
    <col min="4648" max="4652" width="2.109375" style="38" customWidth="1"/>
    <col min="4653" max="4864" width="8.88671875" style="38"/>
    <col min="4865" max="4889" width="2.33203125" style="38" customWidth="1"/>
    <col min="4890" max="4894" width="2.109375" style="38" customWidth="1"/>
    <col min="4895" max="4903" width="2.33203125" style="38" customWidth="1"/>
    <col min="4904" max="4908" width="2.109375" style="38" customWidth="1"/>
    <col min="4909" max="5120" width="8.88671875" style="38"/>
    <col min="5121" max="5145" width="2.33203125" style="38" customWidth="1"/>
    <col min="5146" max="5150" width="2.109375" style="38" customWidth="1"/>
    <col min="5151" max="5159" width="2.33203125" style="38" customWidth="1"/>
    <col min="5160" max="5164" width="2.109375" style="38" customWidth="1"/>
    <col min="5165" max="5376" width="8.88671875" style="38"/>
    <col min="5377" max="5401" width="2.33203125" style="38" customWidth="1"/>
    <col min="5402" max="5406" width="2.109375" style="38" customWidth="1"/>
    <col min="5407" max="5415" width="2.33203125" style="38" customWidth="1"/>
    <col min="5416" max="5420" width="2.109375" style="38" customWidth="1"/>
    <col min="5421" max="5632" width="8.88671875" style="38"/>
    <col min="5633" max="5657" width="2.33203125" style="38" customWidth="1"/>
    <col min="5658" max="5662" width="2.109375" style="38" customWidth="1"/>
    <col min="5663" max="5671" width="2.33203125" style="38" customWidth="1"/>
    <col min="5672" max="5676" width="2.109375" style="38" customWidth="1"/>
    <col min="5677" max="5888" width="8.88671875" style="38"/>
    <col min="5889" max="5913" width="2.33203125" style="38" customWidth="1"/>
    <col min="5914" max="5918" width="2.109375" style="38" customWidth="1"/>
    <col min="5919" max="5927" width="2.33203125" style="38" customWidth="1"/>
    <col min="5928" max="5932" width="2.109375" style="38" customWidth="1"/>
    <col min="5933" max="6144" width="8.88671875" style="38"/>
    <col min="6145" max="6169" width="2.33203125" style="38" customWidth="1"/>
    <col min="6170" max="6174" width="2.109375" style="38" customWidth="1"/>
    <col min="6175" max="6183" width="2.33203125" style="38" customWidth="1"/>
    <col min="6184" max="6188" width="2.109375" style="38" customWidth="1"/>
    <col min="6189" max="6400" width="8.88671875" style="38"/>
    <col min="6401" max="6425" width="2.33203125" style="38" customWidth="1"/>
    <col min="6426" max="6430" width="2.109375" style="38" customWidth="1"/>
    <col min="6431" max="6439" width="2.33203125" style="38" customWidth="1"/>
    <col min="6440" max="6444" width="2.109375" style="38" customWidth="1"/>
    <col min="6445" max="6656" width="8.88671875" style="38"/>
    <col min="6657" max="6681" width="2.33203125" style="38" customWidth="1"/>
    <col min="6682" max="6686" width="2.109375" style="38" customWidth="1"/>
    <col min="6687" max="6695" width="2.33203125" style="38" customWidth="1"/>
    <col min="6696" max="6700" width="2.109375" style="38" customWidth="1"/>
    <col min="6701" max="6912" width="8.88671875" style="38"/>
    <col min="6913" max="6937" width="2.33203125" style="38" customWidth="1"/>
    <col min="6938" max="6942" width="2.109375" style="38" customWidth="1"/>
    <col min="6943" max="6951" width="2.33203125" style="38" customWidth="1"/>
    <col min="6952" max="6956" width="2.109375" style="38" customWidth="1"/>
    <col min="6957" max="7168" width="8.88671875" style="38"/>
    <col min="7169" max="7193" width="2.33203125" style="38" customWidth="1"/>
    <col min="7194" max="7198" width="2.109375" style="38" customWidth="1"/>
    <col min="7199" max="7207" width="2.33203125" style="38" customWidth="1"/>
    <col min="7208" max="7212" width="2.109375" style="38" customWidth="1"/>
    <col min="7213" max="7424" width="8.88671875" style="38"/>
    <col min="7425" max="7449" width="2.33203125" style="38" customWidth="1"/>
    <col min="7450" max="7454" width="2.109375" style="38" customWidth="1"/>
    <col min="7455" max="7463" width="2.33203125" style="38" customWidth="1"/>
    <col min="7464" max="7468" width="2.109375" style="38" customWidth="1"/>
    <col min="7469" max="7680" width="8.88671875" style="38"/>
    <col min="7681" max="7705" width="2.33203125" style="38" customWidth="1"/>
    <col min="7706" max="7710" width="2.109375" style="38" customWidth="1"/>
    <col min="7711" max="7719" width="2.33203125" style="38" customWidth="1"/>
    <col min="7720" max="7724" width="2.109375" style="38" customWidth="1"/>
    <col min="7725" max="7936" width="8.88671875" style="38"/>
    <col min="7937" max="7961" width="2.33203125" style="38" customWidth="1"/>
    <col min="7962" max="7966" width="2.109375" style="38" customWidth="1"/>
    <col min="7967" max="7975" width="2.33203125" style="38" customWidth="1"/>
    <col min="7976" max="7980" width="2.109375" style="38" customWidth="1"/>
    <col min="7981" max="8192" width="8.88671875" style="38"/>
    <col min="8193" max="8217" width="2.33203125" style="38" customWidth="1"/>
    <col min="8218" max="8222" width="2.109375" style="38" customWidth="1"/>
    <col min="8223" max="8231" width="2.33203125" style="38" customWidth="1"/>
    <col min="8232" max="8236" width="2.109375" style="38" customWidth="1"/>
    <col min="8237" max="8448" width="8.88671875" style="38"/>
    <col min="8449" max="8473" width="2.33203125" style="38" customWidth="1"/>
    <col min="8474" max="8478" width="2.109375" style="38" customWidth="1"/>
    <col min="8479" max="8487" width="2.33203125" style="38" customWidth="1"/>
    <col min="8488" max="8492" width="2.109375" style="38" customWidth="1"/>
    <col min="8493" max="8704" width="8.88671875" style="38"/>
    <col min="8705" max="8729" width="2.33203125" style="38" customWidth="1"/>
    <col min="8730" max="8734" width="2.109375" style="38" customWidth="1"/>
    <col min="8735" max="8743" width="2.33203125" style="38" customWidth="1"/>
    <col min="8744" max="8748" width="2.109375" style="38" customWidth="1"/>
    <col min="8749" max="8960" width="8.88671875" style="38"/>
    <col min="8961" max="8985" width="2.33203125" style="38" customWidth="1"/>
    <col min="8986" max="8990" width="2.109375" style="38" customWidth="1"/>
    <col min="8991" max="8999" width="2.33203125" style="38" customWidth="1"/>
    <col min="9000" max="9004" width="2.109375" style="38" customWidth="1"/>
    <col min="9005" max="9216" width="8.88671875" style="38"/>
    <col min="9217" max="9241" width="2.33203125" style="38" customWidth="1"/>
    <col min="9242" max="9246" width="2.109375" style="38" customWidth="1"/>
    <col min="9247" max="9255" width="2.33203125" style="38" customWidth="1"/>
    <col min="9256" max="9260" width="2.109375" style="38" customWidth="1"/>
    <col min="9261" max="9472" width="8.88671875" style="38"/>
    <col min="9473" max="9497" width="2.33203125" style="38" customWidth="1"/>
    <col min="9498" max="9502" width="2.109375" style="38" customWidth="1"/>
    <col min="9503" max="9511" width="2.33203125" style="38" customWidth="1"/>
    <col min="9512" max="9516" width="2.109375" style="38" customWidth="1"/>
    <col min="9517" max="9728" width="8.88671875" style="38"/>
    <col min="9729" max="9753" width="2.33203125" style="38" customWidth="1"/>
    <col min="9754" max="9758" width="2.109375" style="38" customWidth="1"/>
    <col min="9759" max="9767" width="2.33203125" style="38" customWidth="1"/>
    <col min="9768" max="9772" width="2.109375" style="38" customWidth="1"/>
    <col min="9773" max="9984" width="8.88671875" style="38"/>
    <col min="9985" max="10009" width="2.33203125" style="38" customWidth="1"/>
    <col min="10010" max="10014" width="2.109375" style="38" customWidth="1"/>
    <col min="10015" max="10023" width="2.33203125" style="38" customWidth="1"/>
    <col min="10024" max="10028" width="2.109375" style="38" customWidth="1"/>
    <col min="10029" max="10240" width="8.88671875" style="38"/>
    <col min="10241" max="10265" width="2.33203125" style="38" customWidth="1"/>
    <col min="10266" max="10270" width="2.109375" style="38" customWidth="1"/>
    <col min="10271" max="10279" width="2.33203125" style="38" customWidth="1"/>
    <col min="10280" max="10284" width="2.109375" style="38" customWidth="1"/>
    <col min="10285" max="10496" width="8.88671875" style="38"/>
    <col min="10497" max="10521" width="2.33203125" style="38" customWidth="1"/>
    <col min="10522" max="10526" width="2.109375" style="38" customWidth="1"/>
    <col min="10527" max="10535" width="2.33203125" style="38" customWidth="1"/>
    <col min="10536" max="10540" width="2.109375" style="38" customWidth="1"/>
    <col min="10541" max="10752" width="8.88671875" style="38"/>
    <col min="10753" max="10777" width="2.33203125" style="38" customWidth="1"/>
    <col min="10778" max="10782" width="2.109375" style="38" customWidth="1"/>
    <col min="10783" max="10791" width="2.33203125" style="38" customWidth="1"/>
    <col min="10792" max="10796" width="2.109375" style="38" customWidth="1"/>
    <col min="10797" max="11008" width="8.88671875" style="38"/>
    <col min="11009" max="11033" width="2.33203125" style="38" customWidth="1"/>
    <col min="11034" max="11038" width="2.109375" style="38" customWidth="1"/>
    <col min="11039" max="11047" width="2.33203125" style="38" customWidth="1"/>
    <col min="11048" max="11052" width="2.109375" style="38" customWidth="1"/>
    <col min="11053" max="11264" width="8.88671875" style="38"/>
    <col min="11265" max="11289" width="2.33203125" style="38" customWidth="1"/>
    <col min="11290" max="11294" width="2.109375" style="38" customWidth="1"/>
    <col min="11295" max="11303" width="2.33203125" style="38" customWidth="1"/>
    <col min="11304" max="11308" width="2.109375" style="38" customWidth="1"/>
    <col min="11309" max="11520" width="8.88671875" style="38"/>
    <col min="11521" max="11545" width="2.33203125" style="38" customWidth="1"/>
    <col min="11546" max="11550" width="2.109375" style="38" customWidth="1"/>
    <col min="11551" max="11559" width="2.33203125" style="38" customWidth="1"/>
    <col min="11560" max="11564" width="2.109375" style="38" customWidth="1"/>
    <col min="11565" max="11776" width="8.88671875" style="38"/>
    <col min="11777" max="11801" width="2.33203125" style="38" customWidth="1"/>
    <col min="11802" max="11806" width="2.109375" style="38" customWidth="1"/>
    <col min="11807" max="11815" width="2.33203125" style="38" customWidth="1"/>
    <col min="11816" max="11820" width="2.109375" style="38" customWidth="1"/>
    <col min="11821" max="12032" width="8.88671875" style="38"/>
    <col min="12033" max="12057" width="2.33203125" style="38" customWidth="1"/>
    <col min="12058" max="12062" width="2.109375" style="38" customWidth="1"/>
    <col min="12063" max="12071" width="2.33203125" style="38" customWidth="1"/>
    <col min="12072" max="12076" width="2.109375" style="38" customWidth="1"/>
    <col min="12077" max="12288" width="8.88671875" style="38"/>
    <col min="12289" max="12313" width="2.33203125" style="38" customWidth="1"/>
    <col min="12314" max="12318" width="2.109375" style="38" customWidth="1"/>
    <col min="12319" max="12327" width="2.33203125" style="38" customWidth="1"/>
    <col min="12328" max="12332" width="2.109375" style="38" customWidth="1"/>
    <col min="12333" max="12544" width="8.88671875" style="38"/>
    <col min="12545" max="12569" width="2.33203125" style="38" customWidth="1"/>
    <col min="12570" max="12574" width="2.109375" style="38" customWidth="1"/>
    <col min="12575" max="12583" width="2.33203125" style="38" customWidth="1"/>
    <col min="12584" max="12588" width="2.109375" style="38" customWidth="1"/>
    <col min="12589" max="12800" width="8.88671875" style="38"/>
    <col min="12801" max="12825" width="2.33203125" style="38" customWidth="1"/>
    <col min="12826" max="12830" width="2.109375" style="38" customWidth="1"/>
    <col min="12831" max="12839" width="2.33203125" style="38" customWidth="1"/>
    <col min="12840" max="12844" width="2.109375" style="38" customWidth="1"/>
    <col min="12845" max="13056" width="8.88671875" style="38"/>
    <col min="13057" max="13081" width="2.33203125" style="38" customWidth="1"/>
    <col min="13082" max="13086" width="2.109375" style="38" customWidth="1"/>
    <col min="13087" max="13095" width="2.33203125" style="38" customWidth="1"/>
    <col min="13096" max="13100" width="2.109375" style="38" customWidth="1"/>
    <col min="13101" max="13312" width="8.88671875" style="38"/>
    <col min="13313" max="13337" width="2.33203125" style="38" customWidth="1"/>
    <col min="13338" max="13342" width="2.109375" style="38" customWidth="1"/>
    <col min="13343" max="13351" width="2.33203125" style="38" customWidth="1"/>
    <col min="13352" max="13356" width="2.109375" style="38" customWidth="1"/>
    <col min="13357" max="13568" width="8.88671875" style="38"/>
    <col min="13569" max="13593" width="2.33203125" style="38" customWidth="1"/>
    <col min="13594" max="13598" width="2.109375" style="38" customWidth="1"/>
    <col min="13599" max="13607" width="2.33203125" style="38" customWidth="1"/>
    <col min="13608" max="13612" width="2.109375" style="38" customWidth="1"/>
    <col min="13613" max="13824" width="8.88671875" style="38"/>
    <col min="13825" max="13849" width="2.33203125" style="38" customWidth="1"/>
    <col min="13850" max="13854" width="2.109375" style="38" customWidth="1"/>
    <col min="13855" max="13863" width="2.33203125" style="38" customWidth="1"/>
    <col min="13864" max="13868" width="2.109375" style="38" customWidth="1"/>
    <col min="13869" max="14080" width="8.88671875" style="38"/>
    <col min="14081" max="14105" width="2.33203125" style="38" customWidth="1"/>
    <col min="14106" max="14110" width="2.109375" style="38" customWidth="1"/>
    <col min="14111" max="14119" width="2.33203125" style="38" customWidth="1"/>
    <col min="14120" max="14124" width="2.109375" style="38" customWidth="1"/>
    <col min="14125" max="14336" width="8.88671875" style="38"/>
    <col min="14337" max="14361" width="2.33203125" style="38" customWidth="1"/>
    <col min="14362" max="14366" width="2.109375" style="38" customWidth="1"/>
    <col min="14367" max="14375" width="2.33203125" style="38" customWidth="1"/>
    <col min="14376" max="14380" width="2.109375" style="38" customWidth="1"/>
    <col min="14381" max="14592" width="8.88671875" style="38"/>
    <col min="14593" max="14617" width="2.33203125" style="38" customWidth="1"/>
    <col min="14618" max="14622" width="2.109375" style="38" customWidth="1"/>
    <col min="14623" max="14631" width="2.33203125" style="38" customWidth="1"/>
    <col min="14632" max="14636" width="2.109375" style="38" customWidth="1"/>
    <col min="14637" max="14848" width="8.88671875" style="38"/>
    <col min="14849" max="14873" width="2.33203125" style="38" customWidth="1"/>
    <col min="14874" max="14878" width="2.109375" style="38" customWidth="1"/>
    <col min="14879" max="14887" width="2.33203125" style="38" customWidth="1"/>
    <col min="14888" max="14892" width="2.109375" style="38" customWidth="1"/>
    <col min="14893" max="15104" width="8.88671875" style="38"/>
    <col min="15105" max="15129" width="2.33203125" style="38" customWidth="1"/>
    <col min="15130" max="15134" width="2.109375" style="38" customWidth="1"/>
    <col min="15135" max="15143" width="2.33203125" style="38" customWidth="1"/>
    <col min="15144" max="15148" width="2.109375" style="38" customWidth="1"/>
    <col min="15149" max="15360" width="8.88671875" style="38"/>
    <col min="15361" max="15385" width="2.33203125" style="38" customWidth="1"/>
    <col min="15386" max="15390" width="2.109375" style="38" customWidth="1"/>
    <col min="15391" max="15399" width="2.33203125" style="38" customWidth="1"/>
    <col min="15400" max="15404" width="2.109375" style="38" customWidth="1"/>
    <col min="15405" max="15616" width="8.88671875" style="38"/>
    <col min="15617" max="15641" width="2.33203125" style="38" customWidth="1"/>
    <col min="15642" max="15646" width="2.109375" style="38" customWidth="1"/>
    <col min="15647" max="15655" width="2.33203125" style="38" customWidth="1"/>
    <col min="15656" max="15660" width="2.109375" style="38" customWidth="1"/>
    <col min="15661" max="15872" width="8.88671875" style="38"/>
    <col min="15873" max="15897" width="2.33203125" style="38" customWidth="1"/>
    <col min="15898" max="15902" width="2.109375" style="38" customWidth="1"/>
    <col min="15903" max="15911" width="2.33203125" style="38" customWidth="1"/>
    <col min="15912" max="15916" width="2.109375" style="38" customWidth="1"/>
    <col min="15917" max="16128" width="8.88671875" style="38"/>
    <col min="16129" max="16153" width="2.33203125" style="38" customWidth="1"/>
    <col min="16154" max="16158" width="2.109375" style="38" customWidth="1"/>
    <col min="16159" max="16167" width="2.33203125" style="38" customWidth="1"/>
    <col min="16168" max="16172" width="2.109375" style="38" customWidth="1"/>
    <col min="16173" max="16384" width="8.88671875" style="38"/>
  </cols>
  <sheetData>
    <row r="1" spans="1:256" ht="20.399999999999999" x14ac:dyDescent="0.3">
      <c r="A1" s="37" t="s">
        <v>40</v>
      </c>
      <c r="AO1" s="41">
        <v>0</v>
      </c>
      <c r="AP1" s="42"/>
      <c r="AQ1" s="42"/>
      <c r="AR1" s="41">
        <v>0</v>
      </c>
      <c r="AV1" s="43">
        <v>1.3888888888888888E-2</v>
      </c>
    </row>
    <row r="2" spans="1:256" x14ac:dyDescent="0.3">
      <c r="A2" s="38" t="s">
        <v>42</v>
      </c>
      <c r="E2" s="38" t="s">
        <v>76</v>
      </c>
      <c r="P2" s="44" t="s">
        <v>22</v>
      </c>
      <c r="Q2" s="45"/>
      <c r="R2" s="45"/>
      <c r="S2" s="45"/>
      <c r="T2" s="45"/>
      <c r="U2" s="45"/>
      <c r="V2" s="45"/>
      <c r="W2" s="45" t="s">
        <v>3</v>
      </c>
      <c r="X2" s="45"/>
      <c r="Y2" s="46" t="s">
        <v>41</v>
      </c>
      <c r="Z2" s="45"/>
      <c r="AA2" s="45"/>
      <c r="AB2" s="45"/>
      <c r="AC2" s="45"/>
      <c r="AD2" s="47"/>
      <c r="AE2" s="48"/>
      <c r="AF2" s="48"/>
      <c r="AG2" s="49"/>
    </row>
    <row r="3" spans="1:256" ht="15" thickBot="1" x14ac:dyDescent="0.35">
      <c r="A3" s="38" t="s">
        <v>19</v>
      </c>
      <c r="D3" s="415">
        <f>Wedstrijden!I2</f>
        <v>45732</v>
      </c>
      <c r="E3" s="416"/>
      <c r="F3" s="416"/>
      <c r="G3" s="416"/>
      <c r="H3" s="416"/>
      <c r="I3" s="416"/>
      <c r="J3" s="416"/>
      <c r="K3" s="416"/>
      <c r="L3" s="416"/>
      <c r="M3" s="416"/>
      <c r="N3" s="417"/>
      <c r="P3" s="50" t="s">
        <v>18</v>
      </c>
      <c r="Q3" s="51" t="s">
        <v>43</v>
      </c>
      <c r="W3" s="38" t="s">
        <v>0</v>
      </c>
      <c r="Y3" s="51" t="s">
        <v>44</v>
      </c>
      <c r="AG3" s="52"/>
    </row>
    <row r="4" spans="1:256" x14ac:dyDescent="0.3">
      <c r="A4" s="38" t="s">
        <v>20</v>
      </c>
      <c r="D4" s="418">
        <v>20</v>
      </c>
      <c r="E4" s="418"/>
      <c r="F4" s="53"/>
      <c r="G4" s="419">
        <f>VLOOKUP(D4,Wedstrijden!A6:B57,2,0)</f>
        <v>0.70138888888888884</v>
      </c>
      <c r="H4" s="419"/>
      <c r="I4" s="419"/>
      <c r="J4" s="54" t="s">
        <v>16</v>
      </c>
      <c r="K4" s="419">
        <f>G4+AV1</f>
        <v>0.71527777777777768</v>
      </c>
      <c r="L4" s="419"/>
      <c r="M4" s="419"/>
      <c r="N4" s="53"/>
      <c r="P4" s="50" t="s">
        <v>17</v>
      </c>
      <c r="Q4" s="51" t="s">
        <v>45</v>
      </c>
      <c r="W4" s="38" t="s">
        <v>9</v>
      </c>
      <c r="Y4" s="51" t="s">
        <v>46</v>
      </c>
      <c r="AG4" s="52"/>
      <c r="BF4" s="406" t="s">
        <v>102</v>
      </c>
      <c r="BG4" s="407"/>
      <c r="BH4" s="407"/>
      <c r="BI4" s="408"/>
    </row>
    <row r="5" spans="1:256" x14ac:dyDescent="0.3">
      <c r="A5" s="38" t="s">
        <v>164</v>
      </c>
      <c r="D5" s="260" t="str">
        <f>VLOOKUP(D4,Wedstrijden!A6:D33,4,0)</f>
        <v>B</v>
      </c>
      <c r="P5" s="50" t="s">
        <v>10</v>
      </c>
      <c r="Q5" s="51" t="s">
        <v>47</v>
      </c>
      <c r="W5" s="38" t="s">
        <v>12</v>
      </c>
      <c r="Y5" s="51" t="s">
        <v>48</v>
      </c>
      <c r="AG5" s="52"/>
      <c r="BF5" s="409"/>
      <c r="BG5" s="410"/>
      <c r="BH5" s="410"/>
      <c r="BI5" s="411"/>
    </row>
    <row r="6" spans="1:256" ht="14.4" thickBot="1" x14ac:dyDescent="0.2">
      <c r="A6" s="38" t="s">
        <v>21</v>
      </c>
      <c r="D6" s="55" t="str">
        <f>Wedstrijden!K2</f>
        <v>Den Bosch</v>
      </c>
      <c r="P6" s="50" t="s">
        <v>11</v>
      </c>
      <c r="Q6" s="51" t="s">
        <v>49</v>
      </c>
      <c r="W6" s="38" t="s">
        <v>13</v>
      </c>
      <c r="Y6" s="51" t="s">
        <v>50</v>
      </c>
      <c r="AG6" s="52"/>
      <c r="AH6" s="354" t="s">
        <v>51</v>
      </c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BF6" s="412"/>
      <c r="BG6" s="413"/>
      <c r="BH6" s="413"/>
      <c r="BI6" s="414"/>
    </row>
    <row r="7" spans="1:256" x14ac:dyDescent="0.2">
      <c r="A7" s="56" t="s">
        <v>52</v>
      </c>
      <c r="B7" s="57"/>
      <c r="C7" s="57"/>
      <c r="D7" s="57"/>
      <c r="E7" s="58" t="s">
        <v>53</v>
      </c>
      <c r="F7" s="57"/>
      <c r="G7" s="59" t="str">
        <f>VLOOKUP(D4,Wedstrijden!A6:L57,5,0)</f>
        <v>Gesposs Geel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 t="s">
        <v>54</v>
      </c>
      <c r="X7" s="57"/>
      <c r="Y7" s="57"/>
      <c r="Z7" s="58" t="s">
        <v>55</v>
      </c>
      <c r="AA7" s="58"/>
      <c r="AB7" s="57"/>
      <c r="AC7" s="59" t="str">
        <f>VLOOKUP(D4,Wedstrijden!A6:L57,9,0)</f>
        <v>De Tubanten 2</v>
      </c>
      <c r="AD7" s="60"/>
      <c r="AE7" s="61"/>
      <c r="AF7" s="61"/>
      <c r="AG7" s="61"/>
      <c r="AH7" s="61"/>
      <c r="AI7" s="61"/>
      <c r="AJ7" s="57"/>
      <c r="AK7" s="57"/>
      <c r="AL7" s="57"/>
      <c r="AM7" s="57"/>
      <c r="AN7" s="57"/>
      <c r="AO7" s="61"/>
      <c r="AP7" s="57"/>
      <c r="AQ7" s="57"/>
      <c r="AR7" s="62"/>
    </row>
    <row r="8" spans="1:256" x14ac:dyDescent="0.3">
      <c r="A8" s="63" t="s">
        <v>56</v>
      </c>
      <c r="B8" s="64"/>
      <c r="C8" s="64"/>
      <c r="D8" s="64"/>
      <c r="E8" s="64"/>
      <c r="F8" s="64"/>
      <c r="G8" s="64"/>
      <c r="H8" s="64"/>
      <c r="I8" s="64"/>
      <c r="J8" s="65" t="str">
        <f>VLOOKUP(D4,Wedstrijden!A6:P343,13,0)</f>
        <v>Kiki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 t="s">
        <v>57</v>
      </c>
      <c r="X8" s="64"/>
      <c r="Y8" s="64"/>
      <c r="Z8" s="66" t="str">
        <f>VLOOKUP(D4,Wedstrijden!A6:N170,14,0)</f>
        <v>Martijn</v>
      </c>
      <c r="AA8" s="64"/>
      <c r="AB8" s="64"/>
      <c r="AC8" s="64"/>
      <c r="AD8" s="67"/>
      <c r="AE8" s="68"/>
      <c r="AF8" s="68"/>
      <c r="AG8" s="68"/>
      <c r="AH8" s="68"/>
      <c r="AI8" s="68"/>
      <c r="AJ8" s="69" t="s">
        <v>17</v>
      </c>
      <c r="AK8" s="64"/>
      <c r="AL8" s="64"/>
      <c r="AM8" s="64"/>
      <c r="AN8" s="64"/>
      <c r="AO8" s="68"/>
      <c r="AP8" s="64"/>
      <c r="AQ8" s="64"/>
      <c r="AR8" s="70"/>
    </row>
    <row r="9" spans="1:256" ht="14.4" thickBot="1" x14ac:dyDescent="0.35">
      <c r="A9" s="71" t="s">
        <v>58</v>
      </c>
      <c r="B9" s="72"/>
      <c r="C9" s="72"/>
      <c r="D9" s="72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 t="s">
        <v>59</v>
      </c>
      <c r="X9" s="72"/>
      <c r="Y9" s="72"/>
      <c r="Z9" s="72"/>
      <c r="AA9" s="72"/>
      <c r="AB9" s="73"/>
      <c r="AC9" s="73"/>
      <c r="AD9" s="75"/>
      <c r="AE9" s="76"/>
      <c r="AF9" s="76"/>
      <c r="AG9" s="76"/>
      <c r="AH9" s="76"/>
      <c r="AI9" s="76"/>
      <c r="AJ9" s="73"/>
      <c r="AK9" s="73"/>
      <c r="AL9" s="73"/>
      <c r="AM9" s="73"/>
      <c r="AN9" s="73"/>
      <c r="AO9" s="76"/>
      <c r="AP9" s="73"/>
      <c r="AQ9" s="73"/>
      <c r="AR9" s="77"/>
    </row>
    <row r="10" spans="1:256" ht="15" x14ac:dyDescent="0.3">
      <c r="A10" s="78" t="s">
        <v>60</v>
      </c>
      <c r="B10" s="79"/>
      <c r="C10" s="79"/>
      <c r="D10" s="79"/>
      <c r="E10" s="79"/>
      <c r="F10" s="356" t="str">
        <f>+G7</f>
        <v>Gesposs Geel</v>
      </c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7"/>
      <c r="Z10" s="362" t="s">
        <v>8</v>
      </c>
      <c r="AA10" s="363"/>
      <c r="AB10" s="363"/>
      <c r="AC10" s="363"/>
      <c r="AD10" s="364"/>
      <c r="AE10" s="80"/>
      <c r="AF10" s="80"/>
      <c r="AG10" s="80"/>
      <c r="AH10" s="80" t="s">
        <v>61</v>
      </c>
      <c r="AI10" s="80" t="s">
        <v>61</v>
      </c>
      <c r="AJ10" s="371" t="s">
        <v>14</v>
      </c>
      <c r="AK10" s="372"/>
      <c r="AL10" s="377" t="s">
        <v>62</v>
      </c>
      <c r="AM10" s="378"/>
      <c r="AN10" s="383" t="s">
        <v>15</v>
      </c>
      <c r="AO10" s="384"/>
      <c r="AP10" s="384"/>
      <c r="AQ10" s="384"/>
      <c r="AR10" s="385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2" t="s">
        <v>136</v>
      </c>
      <c r="BL10" s="82" t="str">
        <f>CONCATENATE($BL$12&amp;BK10&amp;"x")</f>
        <v>swwx</v>
      </c>
      <c r="BM10" s="82" t="str">
        <f>CONCATENATE($BM$12&amp;BK10&amp;"x")</f>
        <v>dwx</v>
      </c>
      <c r="BN10" s="82" t="str">
        <f>CONCATENATE($BN$12&amp;BK10&amp;"x")</f>
        <v>pwx</v>
      </c>
      <c r="BO10" s="82" t="str">
        <f>CONCATENATE($BO$12&amp;BK10&amp;"x")</f>
        <v>umvwx</v>
      </c>
      <c r="BP10" s="82" t="str">
        <f>CONCATENATE($BP$12&amp;BK10&amp;"x")</f>
        <v>uzvwx</v>
      </c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1" spans="1:256" x14ac:dyDescent="0.3">
      <c r="A11" s="393" t="s">
        <v>7</v>
      </c>
      <c r="B11" s="394"/>
      <c r="C11" s="394"/>
      <c r="D11" s="394"/>
      <c r="E11" s="81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  <c r="Z11" s="365"/>
      <c r="AA11" s="366"/>
      <c r="AB11" s="366"/>
      <c r="AC11" s="366"/>
      <c r="AD11" s="367"/>
      <c r="AE11" s="83" t="s">
        <v>63</v>
      </c>
      <c r="AF11" s="83"/>
      <c r="AG11" s="83"/>
      <c r="AH11" s="83" t="s">
        <v>64</v>
      </c>
      <c r="AI11" s="83" t="s">
        <v>65</v>
      </c>
      <c r="AJ11" s="373"/>
      <c r="AK11" s="374"/>
      <c r="AL11" s="379"/>
      <c r="AM11" s="380"/>
      <c r="AN11" s="386"/>
      <c r="AO11" s="387"/>
      <c r="AP11" s="387"/>
      <c r="AQ11" s="387"/>
      <c r="AR11" s="388"/>
      <c r="AS11" s="81"/>
      <c r="AT11" s="81"/>
      <c r="AU11" s="81" t="s">
        <v>17</v>
      </c>
      <c r="AV11" s="81" t="s">
        <v>18</v>
      </c>
      <c r="AW11" s="81" t="s">
        <v>77</v>
      </c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2" t="s">
        <v>142</v>
      </c>
      <c r="BL11" s="82" t="str">
        <f>CONCATENATE($BL$12&amp;BK11&amp;"x")</f>
        <v>swbx</v>
      </c>
      <c r="BM11" s="82" t="str">
        <f>CONCATENATE($BM$12&amp;BK11&amp;"x")</f>
        <v>dbx</v>
      </c>
      <c r="BN11" s="82" t="str">
        <f>CONCATENATE($BN$12&amp;BK11&amp;"x")</f>
        <v>pbx</v>
      </c>
      <c r="BO11" s="82" t="str">
        <f>CONCATENATE($BO$12&amp;BK11&amp;"x")</f>
        <v>umvbx</v>
      </c>
      <c r="BP11" s="82" t="str">
        <f>CONCATENATE($BP$12&amp;BK11&amp;"x")</f>
        <v>uzvbx</v>
      </c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</row>
    <row r="12" spans="1:256" ht="18" x14ac:dyDescent="0.35">
      <c r="A12" s="395"/>
      <c r="B12" s="396"/>
      <c r="C12" s="396"/>
      <c r="D12" s="394"/>
      <c r="E12" s="81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1"/>
      <c r="Z12" s="368"/>
      <c r="AA12" s="369"/>
      <c r="AB12" s="369"/>
      <c r="AC12" s="369"/>
      <c r="AD12" s="370"/>
      <c r="AE12" s="84" t="s">
        <v>17</v>
      </c>
      <c r="AF12" s="84" t="s">
        <v>10</v>
      </c>
      <c r="AG12" s="84" t="s">
        <v>11</v>
      </c>
      <c r="AH12" s="84" t="s">
        <v>66</v>
      </c>
      <c r="AI12" s="84" t="s">
        <v>66</v>
      </c>
      <c r="AJ12" s="375"/>
      <c r="AK12" s="376"/>
      <c r="AL12" s="381"/>
      <c r="AM12" s="382"/>
      <c r="AN12" s="389" t="s">
        <v>17</v>
      </c>
      <c r="AO12" s="369"/>
      <c r="AP12" s="85"/>
      <c r="AQ12" s="369" t="s">
        <v>18</v>
      </c>
      <c r="AR12" s="390"/>
      <c r="AS12" s="81"/>
      <c r="AT12" s="81"/>
      <c r="AU12" s="81" t="s">
        <v>78</v>
      </c>
      <c r="AV12" s="81" t="s">
        <v>79</v>
      </c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 t="s">
        <v>138</v>
      </c>
      <c r="BM12" s="81" t="s">
        <v>139</v>
      </c>
      <c r="BN12" s="81" t="s">
        <v>79</v>
      </c>
      <c r="BO12" s="81" t="s">
        <v>140</v>
      </c>
      <c r="BP12" s="81" t="s">
        <v>141</v>
      </c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</row>
    <row r="13" spans="1:256" ht="15.6" x14ac:dyDescent="0.3">
      <c r="A13" s="86" t="s">
        <v>0</v>
      </c>
      <c r="B13" s="87" t="s">
        <v>1</v>
      </c>
      <c r="C13" s="88"/>
      <c r="D13" s="89"/>
      <c r="E13" s="88" t="s">
        <v>2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90"/>
      <c r="V13" s="91" t="s">
        <v>3</v>
      </c>
      <c r="W13" s="91" t="s">
        <v>4</v>
      </c>
      <c r="X13" s="91" t="s">
        <v>5</v>
      </c>
      <c r="Y13" s="92" t="s">
        <v>6</v>
      </c>
      <c r="Z13" s="93"/>
      <c r="AA13" s="94">
        <v>2</v>
      </c>
      <c r="AB13" s="95" t="s">
        <v>16</v>
      </c>
      <c r="AC13" s="94">
        <v>0</v>
      </c>
      <c r="AD13" s="96">
        <v>1</v>
      </c>
      <c r="AE13" s="97"/>
      <c r="AF13" s="97"/>
      <c r="AG13" s="98" t="s">
        <v>265</v>
      </c>
      <c r="AH13" s="99"/>
      <c r="AI13" s="99"/>
      <c r="AJ13" s="391" t="s">
        <v>18</v>
      </c>
      <c r="AK13" s="392"/>
      <c r="AL13" s="401">
        <v>5</v>
      </c>
      <c r="AM13" s="402"/>
      <c r="AN13" s="100"/>
      <c r="AO13" s="101">
        <f>IF(BQ13="","",IF(BQ13=$BL$10,"2"+AO1,IF(BQ13=$BM$10,"1"+AO1,IF(BQ13=$BN$10,"0"+AO1,IF(BQ13=$BO$10,"0"+AO1,IF(BQ13=$BP$10,"0"+AO1,"0"+AO1))))))</f>
        <v>0</v>
      </c>
      <c r="AP13" s="95" t="s">
        <v>16</v>
      </c>
      <c r="AQ13" s="102"/>
      <c r="AR13" s="103">
        <f>IF(BQ13="","",IF(BQ13=$BL$11,"2"+AR1,IF(BQ13=$BM$11,"1"+AR1,IF(BQ13=$BN$11,"0"+AR1,IF(BQ13=$BO$11,"0"+AR1,IF(BQ13=$BP$11,"0"+AR1,"0"+AR1))))))</f>
        <v>1</v>
      </c>
      <c r="AY13" s="38" t="str">
        <f>CONCATENATE(AJ13&amp;AL13)</f>
        <v>B5</v>
      </c>
      <c r="AZ13" s="38" t="str">
        <f>IF(AE13=$AW$11,"2","0")</f>
        <v>0</v>
      </c>
      <c r="BA13" s="38" t="str">
        <f>IF(AG13=$AW$11,"1","0")</f>
        <v>1</v>
      </c>
      <c r="BB13" s="38" t="str">
        <f>IF(AF13=$AW$11,"1","0")</f>
        <v>0</v>
      </c>
      <c r="BC13" s="38">
        <f>AZ13+BA13</f>
        <v>1</v>
      </c>
      <c r="BD13" s="38">
        <f>BB13+0</f>
        <v>0</v>
      </c>
      <c r="BL13" s="38" t="str">
        <f>IF(AE13="","",CONCATENATE($BL$12&amp;AJ13&amp;AE13))</f>
        <v/>
      </c>
      <c r="BM13" s="38" t="str">
        <f>IF(AG13="","",CONCATENATE($BM$12&amp;AJ13&amp;AG13))</f>
        <v>dBX</v>
      </c>
      <c r="BN13" s="38" t="str">
        <f>IF(AF13="","",CONCATENATE($BN$12&amp;AJ13,AF13))</f>
        <v/>
      </c>
      <c r="BO13" s="38" t="str">
        <f>IF(AH13="","",CONCATENATE($BO$12&amp;AJ13&amp;AH13))</f>
        <v/>
      </c>
      <c r="BP13" s="38" t="str">
        <f>IF(AI13="","",CONCATENATE($BP$12&amp;AJ13&amp;AI13))</f>
        <v/>
      </c>
      <c r="BQ13" s="38" t="str">
        <f>CONCATENATE(BL13&amp;BM13&amp;BN13&amp;BO13&amp;BP13)</f>
        <v>dBX</v>
      </c>
    </row>
    <row r="14" spans="1:256" ht="15.6" x14ac:dyDescent="0.3">
      <c r="A14" s="104" t="s">
        <v>265</v>
      </c>
      <c r="B14" s="397">
        <f>IF(ISBLANK(HLOOKUP($F$10,spelerslijsten!$B$1:$J$22,4,FALSE)),"",HLOOKUP($F$10,spelerslijsten!$B$1:$J$22,4,FALSE))</f>
        <v>2</v>
      </c>
      <c r="C14" s="398"/>
      <c r="D14" s="105"/>
      <c r="E14" s="106" t="str">
        <f>IF(ISBLANK(HLOOKUP($F$10,spelerslijsten!$B$1:$J$22,3,FALSE)),"",HLOOKUP($F$10,spelerslijsten!$B$1:$J$22,3,FALSE))</f>
        <v>Jasper van Houtum</v>
      </c>
      <c r="F14" s="107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8">
        <f t="shared" ref="V14:V20" si="0">SUMIF($AY$13:$AY$46,AT14,$BC$13:$BC$46)</f>
        <v>0</v>
      </c>
      <c r="W14" s="109" t="str">
        <f>IF(AU14&gt;0,"x","")</f>
        <v/>
      </c>
      <c r="X14" s="110" t="str">
        <f>IF(AU14&gt;1,"x","")</f>
        <v/>
      </c>
      <c r="Y14" s="103" t="str">
        <f>IF(AU14&gt;2,"x","")</f>
        <v/>
      </c>
      <c r="Z14" s="111"/>
      <c r="AA14" s="112">
        <v>3</v>
      </c>
      <c r="AB14" s="113" t="str">
        <f>+AB13</f>
        <v>-</v>
      </c>
      <c r="AC14" s="112">
        <v>1</v>
      </c>
      <c r="AD14" s="114">
        <v>7</v>
      </c>
      <c r="AE14" s="115"/>
      <c r="AF14" s="115"/>
      <c r="AG14" s="116" t="s">
        <v>265</v>
      </c>
      <c r="AH14" s="117"/>
      <c r="AI14" s="117"/>
      <c r="AJ14" s="342" t="s">
        <v>17</v>
      </c>
      <c r="AK14" s="343"/>
      <c r="AL14" s="346">
        <v>3</v>
      </c>
      <c r="AM14" s="347"/>
      <c r="AN14" s="118"/>
      <c r="AO14" s="101">
        <f>IF(BQ14="","",IF(BQ14=$BL$10,"2"+AO13,IF(BQ14=$BM$10,"1"+AO13,IF(BQ14=$BN$10,"0"+AO13,IF(BQ14=$BO$10,"0"+AO13,IF(BQ14=$BP$10,"0"+AO13,"0"+AO13))))))</f>
        <v>1</v>
      </c>
      <c r="AP14" s="113" t="str">
        <f>+AP13</f>
        <v>-</v>
      </c>
      <c r="AQ14" s="119"/>
      <c r="AR14" s="103">
        <f>IF(BQ14="","",IF(BQ14=$BL$11,"2"+AR13,IF(BQ14=$BM$11,"1"+AR13,IF(BQ14=$BN$11,"0"+AR13,IF(BQ14=$BO$11,"0"+AR13,IF(BQ14=$BP$11,"0"+AR13,"0"+AR13))))))</f>
        <v>1</v>
      </c>
      <c r="AT14" s="38" t="str">
        <f>CONCATENATE($AU$11&amp;B14)</f>
        <v>W2</v>
      </c>
      <c r="AU14" s="38">
        <f>SUMIF($AY$13:$AY$46,AT14,$BD$13:$BD$46)</f>
        <v>0</v>
      </c>
      <c r="AY14" s="38" t="str">
        <f t="shared" ref="AY14:AY46" si="1">CONCATENATE(AJ14&amp;AL14)</f>
        <v>W3</v>
      </c>
      <c r="AZ14" s="38" t="str">
        <f t="shared" ref="AZ14:AZ46" si="2">IF(AE14=$AW$11,"2","0")</f>
        <v>0</v>
      </c>
      <c r="BA14" s="38" t="str">
        <f t="shared" ref="BA14:BA46" si="3">IF(AG14=$AW$11,"1","0")</f>
        <v>1</v>
      </c>
      <c r="BB14" s="38" t="str">
        <f t="shared" ref="BB14:BB46" si="4">IF(AF14=$AW$11,"1","0")</f>
        <v>0</v>
      </c>
      <c r="BC14" s="38">
        <f t="shared" ref="BC14:BC46" si="5">AZ14+BA14</f>
        <v>1</v>
      </c>
      <c r="BD14" s="38">
        <f t="shared" ref="BD14:BD46" si="6">BB14+0</f>
        <v>0</v>
      </c>
      <c r="BL14" s="38" t="str">
        <f t="shared" ref="BL14:BL46" si="7">IF(AE14="","",CONCATENATE($BL$12&amp;AJ14&amp;AE14))</f>
        <v/>
      </c>
      <c r="BM14" s="38" t="str">
        <f t="shared" ref="BM14:BM46" si="8">IF(AG14="","",CONCATENATE($BM$12&amp;AJ14&amp;AG14))</f>
        <v>dWX</v>
      </c>
      <c r="BN14" s="38" t="str">
        <f t="shared" ref="BN14:BN46" si="9">IF(AF14="","",CONCATENATE($BN$12&amp;AJ14,AF14))</f>
        <v/>
      </c>
      <c r="BO14" s="38" t="str">
        <f t="shared" ref="BO14:BO46" si="10">IF(AH14="","",CONCATENATE($BO$12&amp;AJ14&amp;AH14))</f>
        <v/>
      </c>
      <c r="BP14" s="38" t="str">
        <f t="shared" ref="BP14:BP46" si="11">IF(AI14="","",CONCATENATE($BP$12&amp;AJ14&amp;AI14))</f>
        <v/>
      </c>
      <c r="BQ14" s="38" t="str">
        <f t="shared" ref="BQ14:BQ46" si="12">CONCATENATE(BL14&amp;BM14&amp;BN14&amp;BO14&amp;BP14)</f>
        <v>dWX</v>
      </c>
    </row>
    <row r="15" spans="1:256" ht="15.6" x14ac:dyDescent="0.3">
      <c r="A15" s="120" t="s">
        <v>265</v>
      </c>
      <c r="B15" s="397">
        <f>IF(ISBLANK(HLOOKUP($F$10,spelerslijsten!$B$1:$J$22,6,FALSE)),"",HLOOKUP($F$10,spelerslijsten!$B$1:$J$22,6,FALSE))</f>
        <v>3</v>
      </c>
      <c r="C15" s="398"/>
      <c r="D15" s="121"/>
      <c r="E15" s="122" t="str">
        <f>IF(ISBLANK(HLOOKUP($F$10,spelerslijsten!$B$1:$J$22,5,FALSE)),"",HLOOKUP($F$10,spelerslijsten!$B$1:$J$22,5,FALSE))</f>
        <v>Arjan Dulos</v>
      </c>
      <c r="F15" s="123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08">
        <f t="shared" si="0"/>
        <v>4</v>
      </c>
      <c r="W15" s="109" t="str">
        <f t="shared" ref="W15:W23" si="13">IF(AU15&gt;0,"x","")</f>
        <v/>
      </c>
      <c r="X15" s="110" t="str">
        <f t="shared" ref="X15:X23" si="14">IF(AU15&gt;1,"x","")</f>
        <v/>
      </c>
      <c r="Y15" s="103" t="str">
        <f t="shared" ref="Y15:Y23" si="15">IF(AU15&gt;2,"x","")</f>
        <v/>
      </c>
      <c r="Z15" s="111"/>
      <c r="AA15" s="112">
        <v>4</v>
      </c>
      <c r="AB15" s="113" t="str">
        <f t="shared" ref="AB15:AB44" si="16">+AB14</f>
        <v>-</v>
      </c>
      <c r="AC15" s="112">
        <v>4</v>
      </c>
      <c r="AD15" s="114">
        <v>0</v>
      </c>
      <c r="AE15" s="115"/>
      <c r="AF15" s="115"/>
      <c r="AG15" s="116" t="s">
        <v>265</v>
      </c>
      <c r="AH15" s="117"/>
      <c r="AI15" s="117"/>
      <c r="AJ15" s="342" t="s">
        <v>17</v>
      </c>
      <c r="AK15" s="343"/>
      <c r="AL15" s="346">
        <v>3</v>
      </c>
      <c r="AM15" s="347"/>
      <c r="AN15" s="118"/>
      <c r="AO15" s="101">
        <f>IF(BQ15="","",IF(BQ15=$BL$10,"2"+AO14,IF(BQ15=$BM$10,"1"+AO14,IF(BQ15=$BN$10,"0"+AO14,IF(BQ15=$BO$10,"0"+AO14,IF(BQ15=$BP$10,"0"+AO14,"0"+AO14))))))</f>
        <v>2</v>
      </c>
      <c r="AP15" s="113" t="str">
        <f>+AP14</f>
        <v>-</v>
      </c>
      <c r="AQ15" s="119"/>
      <c r="AR15" s="103">
        <f>IF(BQ15="","",IF(BQ15=$BL$11,"2"+AR14,IF(BQ15=$BM$11,"1"+AR14,IF(BQ15=$BN$11,"0"+AR14,IF(BQ15=$BO$11,"0"+AR14,IF(BQ15=$BP$11,"0"+AR14,"0"+AR14))))))</f>
        <v>1</v>
      </c>
      <c r="AT15" s="38" t="str">
        <f t="shared" ref="AT15:AT23" si="17">CONCATENATE($AU$11&amp;B15)</f>
        <v>W3</v>
      </c>
      <c r="AU15" s="38">
        <f t="shared" ref="AU15:AU39" si="18">SUMIF($AY$13:$AY$46,AT15,$BD$13:$BD$46)</f>
        <v>0</v>
      </c>
      <c r="AY15" s="38" t="str">
        <f t="shared" si="1"/>
        <v>W3</v>
      </c>
      <c r="AZ15" s="38" t="str">
        <f t="shared" si="2"/>
        <v>0</v>
      </c>
      <c r="BA15" s="38" t="str">
        <f t="shared" si="3"/>
        <v>1</v>
      </c>
      <c r="BB15" s="38" t="str">
        <f t="shared" si="4"/>
        <v>0</v>
      </c>
      <c r="BC15" s="38">
        <f t="shared" si="5"/>
        <v>1</v>
      </c>
      <c r="BD15" s="38">
        <f t="shared" si="6"/>
        <v>0</v>
      </c>
      <c r="BL15" s="38" t="str">
        <f t="shared" si="7"/>
        <v/>
      </c>
      <c r="BM15" s="38" t="str">
        <f t="shared" si="8"/>
        <v>dWX</v>
      </c>
      <c r="BN15" s="38" t="str">
        <f t="shared" si="9"/>
        <v/>
      </c>
      <c r="BO15" s="38" t="str">
        <f t="shared" si="10"/>
        <v/>
      </c>
      <c r="BP15" s="38" t="str">
        <f t="shared" si="11"/>
        <v/>
      </c>
      <c r="BQ15" s="38" t="str">
        <f t="shared" si="12"/>
        <v>dWX</v>
      </c>
    </row>
    <row r="16" spans="1:256" ht="15.6" x14ac:dyDescent="0.3">
      <c r="A16" s="124"/>
      <c r="B16" s="397">
        <f>IF(ISBLANK(HLOOKUP($F$10,spelerslijsten!$B$1:$J$22,8,FALSE)),"",HLOOKUP($F$10,spelerslijsten!$B$1:$J$22,8,FALSE))</f>
        <v>4</v>
      </c>
      <c r="C16" s="398"/>
      <c r="D16" s="121"/>
      <c r="E16" s="122" t="str">
        <f>IF(ISBLANK(HLOOKUP($F$10,spelerslijsten!$B$1:$J$22,7,FALSE)),"",HLOOKUP($F$10,spelerslijsten!$B$1:$J$22,7,FALSE))</f>
        <v>Kim Wolf</v>
      </c>
      <c r="F16" s="12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08">
        <f t="shared" si="0"/>
        <v>0</v>
      </c>
      <c r="W16" s="109" t="str">
        <f t="shared" si="13"/>
        <v/>
      </c>
      <c r="X16" s="110" t="str">
        <f t="shared" si="14"/>
        <v/>
      </c>
      <c r="Y16" s="103" t="str">
        <f t="shared" si="15"/>
        <v/>
      </c>
      <c r="Z16" s="111"/>
      <c r="AA16" s="112">
        <v>5</v>
      </c>
      <c r="AB16" s="113" t="str">
        <f t="shared" si="16"/>
        <v>-</v>
      </c>
      <c r="AC16" s="112">
        <v>5</v>
      </c>
      <c r="AD16" s="114">
        <v>9</v>
      </c>
      <c r="AE16" s="115"/>
      <c r="AF16" s="115"/>
      <c r="AG16" s="116" t="s">
        <v>265</v>
      </c>
      <c r="AH16" s="117"/>
      <c r="AI16" s="117"/>
      <c r="AJ16" s="342" t="s">
        <v>17</v>
      </c>
      <c r="AK16" s="343"/>
      <c r="AL16" s="346">
        <v>3</v>
      </c>
      <c r="AM16" s="347"/>
      <c r="AN16" s="118"/>
      <c r="AO16" s="101">
        <f t="shared" ref="AO16:AO46" si="19">IF(BQ16="","",IF(BQ16=$BL$10,"2"+AO15,IF(BQ16=$BM$10,"1"+AO15,IF(BQ16=$BN$10,"0"+AO15,IF(BQ16=$BO$10,"0"+AO15,IF(BQ16=$BP$10,"0"+AO15,"0"+AO15))))))</f>
        <v>3</v>
      </c>
      <c r="AP16" s="113" t="str">
        <f t="shared" ref="AP16:AP46" si="20">+AP15</f>
        <v>-</v>
      </c>
      <c r="AQ16" s="119"/>
      <c r="AR16" s="103">
        <f t="shared" ref="AR16:AR46" si="21">IF(BQ16="","",IF(BQ16=$BL$11,"2"+AR15,IF(BQ16=$BM$11,"1"+AR15,IF(BQ16=$BN$11,"0"+AR15,IF(BQ16=$BO$11,"0"+AR15,IF(BQ16=$BP$11,"0"+AR15,"0"+AR15))))))</f>
        <v>1</v>
      </c>
      <c r="AT16" s="38" t="str">
        <f t="shared" si="17"/>
        <v>W4</v>
      </c>
      <c r="AU16" s="38">
        <f t="shared" si="18"/>
        <v>0</v>
      </c>
      <c r="AY16" s="38" t="str">
        <f t="shared" si="1"/>
        <v>W3</v>
      </c>
      <c r="AZ16" s="38" t="str">
        <f t="shared" si="2"/>
        <v>0</v>
      </c>
      <c r="BA16" s="38" t="str">
        <f t="shared" si="3"/>
        <v>1</v>
      </c>
      <c r="BB16" s="38" t="str">
        <f t="shared" si="4"/>
        <v>0</v>
      </c>
      <c r="BC16" s="38">
        <f t="shared" si="5"/>
        <v>1</v>
      </c>
      <c r="BD16" s="38">
        <f t="shared" si="6"/>
        <v>0</v>
      </c>
      <c r="BL16" s="38" t="str">
        <f t="shared" si="7"/>
        <v/>
      </c>
      <c r="BM16" s="38" t="str">
        <f t="shared" si="8"/>
        <v>dWX</v>
      </c>
      <c r="BN16" s="38" t="str">
        <f t="shared" si="9"/>
        <v/>
      </c>
      <c r="BO16" s="38" t="str">
        <f t="shared" si="10"/>
        <v/>
      </c>
      <c r="BP16" s="38" t="str">
        <f t="shared" si="11"/>
        <v/>
      </c>
      <c r="BQ16" s="38" t="str">
        <f t="shared" si="12"/>
        <v>dWX</v>
      </c>
    </row>
    <row r="17" spans="1:69" ht="15.6" x14ac:dyDescent="0.3">
      <c r="A17" s="124" t="s">
        <v>265</v>
      </c>
      <c r="B17" s="397">
        <f>IF(ISBLANK(HLOOKUP($F$10,spelerslijsten!$B$1:$J$22,10,FALSE)),"",HLOOKUP($F$10,spelerslijsten!$B$1:$J$22,10,FALSE))</f>
        <v>5</v>
      </c>
      <c r="C17" s="398"/>
      <c r="D17" s="121"/>
      <c r="E17" s="122" t="str">
        <f>IF(ISBLANK(HLOOKUP($F$10,spelerslijsten!$B$1:$J$22,9,FALSE)),"",HLOOKUP($F$10,spelerslijsten!$B$1:$J$22,9,FALSE))</f>
        <v>Kevin van Boekel</v>
      </c>
      <c r="F17" s="12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08">
        <f t="shared" si="0"/>
        <v>1</v>
      </c>
      <c r="W17" s="109" t="str">
        <f t="shared" si="13"/>
        <v/>
      </c>
      <c r="X17" s="110" t="str">
        <f t="shared" si="14"/>
        <v/>
      </c>
      <c r="Y17" s="103" t="str">
        <f t="shared" si="15"/>
        <v/>
      </c>
      <c r="Z17" s="111"/>
      <c r="AA17" s="112">
        <v>8</v>
      </c>
      <c r="AB17" s="113" t="str">
        <f t="shared" si="16"/>
        <v>-</v>
      </c>
      <c r="AC17" s="112">
        <v>1</v>
      </c>
      <c r="AD17" s="114">
        <v>2</v>
      </c>
      <c r="AE17" s="115"/>
      <c r="AF17" s="115"/>
      <c r="AG17" s="116" t="s">
        <v>265</v>
      </c>
      <c r="AH17" s="117"/>
      <c r="AI17" s="117"/>
      <c r="AJ17" s="342" t="s">
        <v>17</v>
      </c>
      <c r="AK17" s="343"/>
      <c r="AL17" s="346">
        <v>3</v>
      </c>
      <c r="AM17" s="347"/>
      <c r="AN17" s="118"/>
      <c r="AO17" s="101">
        <f t="shared" si="19"/>
        <v>4</v>
      </c>
      <c r="AP17" s="113" t="str">
        <f t="shared" si="20"/>
        <v>-</v>
      </c>
      <c r="AQ17" s="119"/>
      <c r="AR17" s="103">
        <f t="shared" si="21"/>
        <v>1</v>
      </c>
      <c r="AT17" s="38" t="str">
        <f t="shared" si="17"/>
        <v>W5</v>
      </c>
      <c r="AU17" s="38">
        <f t="shared" si="18"/>
        <v>0</v>
      </c>
      <c r="AY17" s="38" t="str">
        <f t="shared" si="1"/>
        <v>W3</v>
      </c>
      <c r="AZ17" s="38" t="str">
        <f t="shared" si="2"/>
        <v>0</v>
      </c>
      <c r="BA17" s="38" t="str">
        <f t="shared" si="3"/>
        <v>1</v>
      </c>
      <c r="BB17" s="38" t="str">
        <f t="shared" si="4"/>
        <v>0</v>
      </c>
      <c r="BC17" s="38">
        <f t="shared" si="5"/>
        <v>1</v>
      </c>
      <c r="BD17" s="38">
        <f t="shared" si="6"/>
        <v>0</v>
      </c>
      <c r="BL17" s="38" t="str">
        <f t="shared" si="7"/>
        <v/>
      </c>
      <c r="BM17" s="38" t="str">
        <f t="shared" si="8"/>
        <v>dWX</v>
      </c>
      <c r="BN17" s="38" t="str">
        <f t="shared" si="9"/>
        <v/>
      </c>
      <c r="BO17" s="38" t="str">
        <f t="shared" si="10"/>
        <v/>
      </c>
      <c r="BP17" s="38" t="str">
        <f t="shared" si="11"/>
        <v/>
      </c>
      <c r="BQ17" s="38" t="str">
        <f t="shared" si="12"/>
        <v>dWX</v>
      </c>
    </row>
    <row r="18" spans="1:69" ht="15.6" x14ac:dyDescent="0.3">
      <c r="A18" s="124" t="s">
        <v>265</v>
      </c>
      <c r="B18" s="397">
        <f>IF(ISBLANK(HLOOKUP($F$10,spelerslijsten!$B$1:$J$22,12,FALSE)),"",HLOOKUP($F$10,spelerslijsten!$B$1:$J$22,12,FALSE))</f>
        <v>6</v>
      </c>
      <c r="C18" s="398"/>
      <c r="D18" s="121"/>
      <c r="E18" s="122" t="str">
        <f>IF(ISBLANK(HLOOKUP($F$10,spelerslijsten!$B$1:$J$22,11,FALSE)),"",HLOOKUP($F$10,spelerslijsten!$B$1:$J$22,11,FALSE))</f>
        <v>Kevin van Kollenburg</v>
      </c>
      <c r="F18" s="12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08">
        <f t="shared" si="0"/>
        <v>0</v>
      </c>
      <c r="W18" s="109" t="str">
        <f t="shared" si="13"/>
        <v/>
      </c>
      <c r="X18" s="110" t="str">
        <f t="shared" si="14"/>
        <v/>
      </c>
      <c r="Y18" s="103" t="str">
        <f t="shared" si="15"/>
        <v/>
      </c>
      <c r="Z18" s="111"/>
      <c r="AA18" s="112">
        <v>8</v>
      </c>
      <c r="AB18" s="113" t="s">
        <v>16</v>
      </c>
      <c r="AC18" s="112">
        <v>5</v>
      </c>
      <c r="AD18" s="114">
        <v>4</v>
      </c>
      <c r="AE18" s="115"/>
      <c r="AF18" s="115"/>
      <c r="AG18" s="116" t="s">
        <v>265</v>
      </c>
      <c r="AH18" s="117"/>
      <c r="AI18" s="117"/>
      <c r="AJ18" s="342" t="s">
        <v>18</v>
      </c>
      <c r="AK18" s="343"/>
      <c r="AL18" s="346">
        <v>5</v>
      </c>
      <c r="AM18" s="347"/>
      <c r="AN18" s="118"/>
      <c r="AO18" s="101">
        <f t="shared" si="19"/>
        <v>4</v>
      </c>
      <c r="AP18" s="113" t="str">
        <f t="shared" si="20"/>
        <v>-</v>
      </c>
      <c r="AQ18" s="119"/>
      <c r="AR18" s="103">
        <f t="shared" si="21"/>
        <v>2</v>
      </c>
      <c r="AT18" s="38" t="str">
        <f t="shared" si="17"/>
        <v>W6</v>
      </c>
      <c r="AU18" s="38">
        <f t="shared" si="18"/>
        <v>0</v>
      </c>
      <c r="AY18" s="38" t="str">
        <f t="shared" si="1"/>
        <v>B5</v>
      </c>
      <c r="AZ18" s="38" t="str">
        <f t="shared" si="2"/>
        <v>0</v>
      </c>
      <c r="BA18" s="38" t="str">
        <f t="shared" si="3"/>
        <v>1</v>
      </c>
      <c r="BB18" s="38" t="str">
        <f t="shared" si="4"/>
        <v>0</v>
      </c>
      <c r="BC18" s="38">
        <f t="shared" si="5"/>
        <v>1</v>
      </c>
      <c r="BD18" s="38">
        <f t="shared" si="6"/>
        <v>0</v>
      </c>
      <c r="BL18" s="38" t="str">
        <f t="shared" si="7"/>
        <v/>
      </c>
      <c r="BM18" s="38" t="str">
        <f t="shared" si="8"/>
        <v>dBX</v>
      </c>
      <c r="BN18" s="38" t="str">
        <f t="shared" si="9"/>
        <v/>
      </c>
      <c r="BO18" s="38" t="str">
        <f t="shared" si="10"/>
        <v/>
      </c>
      <c r="BP18" s="38" t="str">
        <f t="shared" si="11"/>
        <v/>
      </c>
      <c r="BQ18" s="38" t="str">
        <f t="shared" si="12"/>
        <v>dBX</v>
      </c>
    </row>
    <row r="19" spans="1:69" ht="15.6" x14ac:dyDescent="0.3">
      <c r="A19" s="124" t="s">
        <v>265</v>
      </c>
      <c r="B19" s="397">
        <f>IF(ISBLANK(HLOOKUP($F$10,spelerslijsten!$B$1:$J$22,14,FALSE)),"",HLOOKUP($F$10,spelerslijsten!$B$1:$J$22,14,FALSE))</f>
        <v>7</v>
      </c>
      <c r="C19" s="398"/>
      <c r="D19" s="121"/>
      <c r="E19" s="122" t="str">
        <f>IF(ISBLANK(HLOOKUP($F$10,spelerslijsten!$B$1:$J$22,13,FALSE)),"",HLOOKUP($F$10,spelerslijsten!$B$1:$J$22,13,FALSE))</f>
        <v>Tim van den Akker</v>
      </c>
      <c r="F19" s="12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08">
        <f t="shared" si="0"/>
        <v>0</v>
      </c>
      <c r="W19" s="109" t="str">
        <f t="shared" si="13"/>
        <v/>
      </c>
      <c r="X19" s="110" t="str">
        <f t="shared" si="14"/>
        <v/>
      </c>
      <c r="Y19" s="103" t="str">
        <f t="shared" si="15"/>
        <v/>
      </c>
      <c r="Z19" s="111"/>
      <c r="AA19" s="112">
        <v>9</v>
      </c>
      <c r="AB19" s="113" t="str">
        <f t="shared" si="16"/>
        <v>-</v>
      </c>
      <c r="AC19" s="112">
        <v>5</v>
      </c>
      <c r="AD19" s="114">
        <v>3</v>
      </c>
      <c r="AE19" s="115"/>
      <c r="AF19" s="115"/>
      <c r="AG19" s="116" t="s">
        <v>265</v>
      </c>
      <c r="AH19" s="117"/>
      <c r="AI19" s="117"/>
      <c r="AJ19" s="342" t="s">
        <v>18</v>
      </c>
      <c r="AK19" s="343"/>
      <c r="AL19" s="346">
        <v>5</v>
      </c>
      <c r="AM19" s="347"/>
      <c r="AN19" s="118"/>
      <c r="AO19" s="101">
        <f t="shared" si="19"/>
        <v>4</v>
      </c>
      <c r="AP19" s="113" t="str">
        <f t="shared" si="20"/>
        <v>-</v>
      </c>
      <c r="AQ19" s="119"/>
      <c r="AR19" s="103">
        <f t="shared" si="21"/>
        <v>3</v>
      </c>
      <c r="AT19" s="38" t="str">
        <f t="shared" si="17"/>
        <v>W7</v>
      </c>
      <c r="AU19" s="38">
        <f t="shared" si="18"/>
        <v>0</v>
      </c>
      <c r="AY19" s="38" t="str">
        <f t="shared" si="1"/>
        <v>B5</v>
      </c>
      <c r="AZ19" s="38" t="str">
        <f t="shared" si="2"/>
        <v>0</v>
      </c>
      <c r="BA19" s="38" t="str">
        <f t="shared" si="3"/>
        <v>1</v>
      </c>
      <c r="BB19" s="38" t="str">
        <f t="shared" si="4"/>
        <v>0</v>
      </c>
      <c r="BC19" s="38">
        <f t="shared" si="5"/>
        <v>1</v>
      </c>
      <c r="BD19" s="38">
        <f t="shared" si="6"/>
        <v>0</v>
      </c>
      <c r="BL19" s="38" t="str">
        <f t="shared" si="7"/>
        <v/>
      </c>
      <c r="BM19" s="38" t="str">
        <f t="shared" si="8"/>
        <v>dBX</v>
      </c>
      <c r="BN19" s="38" t="str">
        <f t="shared" si="9"/>
        <v/>
      </c>
      <c r="BO19" s="38" t="str">
        <f t="shared" si="10"/>
        <v/>
      </c>
      <c r="BP19" s="38" t="str">
        <f t="shared" si="11"/>
        <v/>
      </c>
      <c r="BQ19" s="38" t="str">
        <f t="shared" si="12"/>
        <v>dBX</v>
      </c>
    </row>
    <row r="20" spans="1:69" ht="15.6" x14ac:dyDescent="0.3">
      <c r="A20" s="124"/>
      <c r="B20" s="397">
        <f>IF(ISBLANK(HLOOKUP($F$10,spelerslijsten!$B$1:$J$22,16,FALSE)),"",HLOOKUP($F$10,spelerslijsten!$B$1:$J$22,16,FALSE))</f>
        <v>8</v>
      </c>
      <c r="C20" s="398"/>
      <c r="D20" s="121"/>
      <c r="E20" s="122" t="str">
        <f>IF(ISBLANK(HLOOKUP($F$10,spelerslijsten!$B$1:$J$22,15,FALSE)),"",HLOOKUP($F$10,spelerslijsten!$B$1:$J$22,15,FALSE))</f>
        <v>Marloes Beks-Geurts</v>
      </c>
      <c r="F20" s="12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08">
        <f t="shared" si="0"/>
        <v>0</v>
      </c>
      <c r="W20" s="109" t="str">
        <f t="shared" si="13"/>
        <v/>
      </c>
      <c r="X20" s="110" t="str">
        <f t="shared" si="14"/>
        <v/>
      </c>
      <c r="Y20" s="103" t="str">
        <f t="shared" si="15"/>
        <v/>
      </c>
      <c r="Z20" s="111">
        <v>1</v>
      </c>
      <c r="AA20" s="112">
        <v>2</v>
      </c>
      <c r="AB20" s="113" t="str">
        <f t="shared" si="16"/>
        <v>-</v>
      </c>
      <c r="AC20" s="112">
        <v>5</v>
      </c>
      <c r="AD20" s="114">
        <v>6</v>
      </c>
      <c r="AE20" s="115"/>
      <c r="AF20" s="115"/>
      <c r="AG20" s="116" t="s">
        <v>265</v>
      </c>
      <c r="AH20" s="117"/>
      <c r="AI20" s="117"/>
      <c r="AJ20" s="342" t="s">
        <v>17</v>
      </c>
      <c r="AK20" s="343"/>
      <c r="AL20" s="346">
        <v>5</v>
      </c>
      <c r="AM20" s="347"/>
      <c r="AN20" s="118"/>
      <c r="AO20" s="101">
        <f t="shared" si="19"/>
        <v>5</v>
      </c>
      <c r="AP20" s="113" t="str">
        <f t="shared" si="20"/>
        <v>-</v>
      </c>
      <c r="AQ20" s="119"/>
      <c r="AR20" s="103">
        <f t="shared" si="21"/>
        <v>3</v>
      </c>
      <c r="AT20" s="38" t="str">
        <f t="shared" si="17"/>
        <v>W8</v>
      </c>
      <c r="AU20" s="38">
        <f t="shared" si="18"/>
        <v>0</v>
      </c>
      <c r="AY20" s="38" t="str">
        <f t="shared" si="1"/>
        <v>W5</v>
      </c>
      <c r="AZ20" s="38" t="str">
        <f t="shared" si="2"/>
        <v>0</v>
      </c>
      <c r="BA20" s="38" t="str">
        <f t="shared" si="3"/>
        <v>1</v>
      </c>
      <c r="BB20" s="38" t="str">
        <f t="shared" si="4"/>
        <v>0</v>
      </c>
      <c r="BC20" s="38">
        <f t="shared" si="5"/>
        <v>1</v>
      </c>
      <c r="BD20" s="38">
        <f t="shared" si="6"/>
        <v>0</v>
      </c>
      <c r="BL20" s="38" t="str">
        <f t="shared" si="7"/>
        <v/>
      </c>
      <c r="BM20" s="38" t="str">
        <f t="shared" si="8"/>
        <v>dWX</v>
      </c>
      <c r="BN20" s="38" t="str">
        <f t="shared" si="9"/>
        <v/>
      </c>
      <c r="BO20" s="38" t="str">
        <f t="shared" si="10"/>
        <v/>
      </c>
      <c r="BP20" s="38" t="str">
        <f t="shared" si="11"/>
        <v/>
      </c>
      <c r="BQ20" s="38" t="str">
        <f t="shared" si="12"/>
        <v>dWX</v>
      </c>
    </row>
    <row r="21" spans="1:69" ht="15.6" x14ac:dyDescent="0.3">
      <c r="A21" s="124"/>
      <c r="B21" s="397">
        <f>IF(ISBLANK(HLOOKUP($F$10,spelerslijsten!$B$1:$J$22,18,FALSE)),"",HLOOKUP($F$10,spelerslijsten!$B$1:$J$22,18,FALSE))</f>
        <v>9</v>
      </c>
      <c r="C21" s="398"/>
      <c r="D21" s="121"/>
      <c r="E21" s="122" t="str">
        <f>IF(ISBLANK(HLOOKUP($F$10,spelerslijsten!$B$1:$J$22,17,FALSE)),"",HLOOKUP($F$10,spelerslijsten!$B$1:$J$22,17,FALSE))</f>
        <v>Lincy Ruijs</v>
      </c>
      <c r="F21" s="12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08">
        <f>SUMIF($AY$13:$AY$46,AT21,$BC$13:$BC$46)</f>
        <v>0</v>
      </c>
      <c r="W21" s="109" t="str">
        <f t="shared" si="13"/>
        <v/>
      </c>
      <c r="X21" s="110" t="str">
        <f t="shared" si="14"/>
        <v/>
      </c>
      <c r="Y21" s="103" t="str">
        <f t="shared" si="15"/>
        <v/>
      </c>
      <c r="Z21" s="111">
        <v>1</v>
      </c>
      <c r="AA21" s="112">
        <v>4</v>
      </c>
      <c r="AB21" s="113" t="str">
        <f t="shared" si="16"/>
        <v>-</v>
      </c>
      <c r="AC21" s="112">
        <v>0</v>
      </c>
      <c r="AD21" s="114">
        <v>0</v>
      </c>
      <c r="AE21" s="115"/>
      <c r="AF21" s="115"/>
      <c r="AG21" s="116" t="s">
        <v>265</v>
      </c>
      <c r="AH21" s="117"/>
      <c r="AI21" s="117"/>
      <c r="AJ21" s="342" t="s">
        <v>18</v>
      </c>
      <c r="AK21" s="343"/>
      <c r="AL21" s="346">
        <v>4</v>
      </c>
      <c r="AM21" s="347"/>
      <c r="AN21" s="118"/>
      <c r="AO21" s="101">
        <f t="shared" si="19"/>
        <v>5</v>
      </c>
      <c r="AP21" s="113" t="str">
        <f t="shared" si="20"/>
        <v>-</v>
      </c>
      <c r="AQ21" s="119"/>
      <c r="AR21" s="103">
        <f t="shared" si="21"/>
        <v>4</v>
      </c>
      <c r="AT21" s="38" t="str">
        <f t="shared" si="17"/>
        <v>W9</v>
      </c>
      <c r="AU21" s="38">
        <f t="shared" si="18"/>
        <v>0</v>
      </c>
      <c r="AY21" s="38" t="str">
        <f t="shared" si="1"/>
        <v>B4</v>
      </c>
      <c r="AZ21" s="38" t="str">
        <f t="shared" si="2"/>
        <v>0</v>
      </c>
      <c r="BA21" s="38" t="str">
        <f t="shared" si="3"/>
        <v>1</v>
      </c>
      <c r="BB21" s="38" t="str">
        <f t="shared" si="4"/>
        <v>0</v>
      </c>
      <c r="BC21" s="38">
        <f t="shared" si="5"/>
        <v>1</v>
      </c>
      <c r="BD21" s="38">
        <f t="shared" si="6"/>
        <v>0</v>
      </c>
      <c r="BL21" s="38" t="str">
        <f t="shared" si="7"/>
        <v/>
      </c>
      <c r="BM21" s="38" t="str">
        <f t="shared" si="8"/>
        <v>dBX</v>
      </c>
      <c r="BN21" s="38" t="str">
        <f t="shared" si="9"/>
        <v/>
      </c>
      <c r="BO21" s="38" t="str">
        <f t="shared" si="10"/>
        <v/>
      </c>
      <c r="BP21" s="38" t="str">
        <f t="shared" si="11"/>
        <v/>
      </c>
      <c r="BQ21" s="38" t="str">
        <f t="shared" si="12"/>
        <v>dBX</v>
      </c>
    </row>
    <row r="22" spans="1:69" ht="15.6" x14ac:dyDescent="0.3">
      <c r="A22" s="124" t="s">
        <v>265</v>
      </c>
      <c r="B22" s="397">
        <f>IF(ISBLANK(HLOOKUP($F$10,spelerslijsten!$B$1:$J$22,20,FALSE)),"",HLOOKUP($F$10,spelerslijsten!$B$1:$J$22,20,FALSE))</f>
        <v>10</v>
      </c>
      <c r="C22" s="398"/>
      <c r="D22" s="121"/>
      <c r="E22" s="122" t="str">
        <f>IF(ISBLANK(HLOOKUP($F$10,spelerslijsten!$B$1:$J$22,19,FALSE)),"",HLOOKUP($F$10,spelerslijsten!$B$1:$J$22,19,FALSE))</f>
        <v>Eef de Ruijter</v>
      </c>
      <c r="F22" s="12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08">
        <f t="shared" ref="V22:V23" si="22">SUMIF($AY$13:$AY$46,AT22,$BC$13:$BC$46)</f>
        <v>0</v>
      </c>
      <c r="W22" s="109" t="str">
        <f t="shared" si="13"/>
        <v/>
      </c>
      <c r="X22" s="110" t="str">
        <f t="shared" si="14"/>
        <v/>
      </c>
      <c r="Y22" s="103" t="str">
        <f t="shared" si="15"/>
        <v/>
      </c>
      <c r="Z22" s="111"/>
      <c r="AA22" s="112"/>
      <c r="AB22" s="113" t="str">
        <f t="shared" si="16"/>
        <v>-</v>
      </c>
      <c r="AC22" s="112"/>
      <c r="AD22" s="114"/>
      <c r="AE22" s="115"/>
      <c r="AF22" s="115"/>
      <c r="AG22" s="116"/>
      <c r="AH22" s="117"/>
      <c r="AI22" s="117"/>
      <c r="AJ22" s="342"/>
      <c r="AK22" s="343"/>
      <c r="AL22" s="346"/>
      <c r="AM22" s="347"/>
      <c r="AN22" s="118"/>
      <c r="AO22" s="101" t="str">
        <f t="shared" si="19"/>
        <v/>
      </c>
      <c r="AP22" s="113" t="str">
        <f t="shared" si="20"/>
        <v>-</v>
      </c>
      <c r="AQ22" s="119"/>
      <c r="AR22" s="103" t="str">
        <f t="shared" si="21"/>
        <v/>
      </c>
      <c r="AT22" s="38" t="str">
        <f t="shared" si="17"/>
        <v>W10</v>
      </c>
      <c r="AU22" s="38">
        <f t="shared" si="18"/>
        <v>0</v>
      </c>
      <c r="AY22" s="38" t="str">
        <f t="shared" si="1"/>
        <v/>
      </c>
      <c r="AZ22" s="38" t="str">
        <f t="shared" si="2"/>
        <v>0</v>
      </c>
      <c r="BA22" s="38" t="str">
        <f t="shared" si="3"/>
        <v>0</v>
      </c>
      <c r="BB22" s="38" t="str">
        <f t="shared" si="4"/>
        <v>0</v>
      </c>
      <c r="BC22" s="38">
        <f t="shared" si="5"/>
        <v>0</v>
      </c>
      <c r="BD22" s="38">
        <f t="shared" si="6"/>
        <v>0</v>
      </c>
      <c r="BL22" s="38" t="str">
        <f t="shared" si="7"/>
        <v/>
      </c>
      <c r="BM22" s="38" t="str">
        <f t="shared" si="8"/>
        <v/>
      </c>
      <c r="BN22" s="38" t="str">
        <f t="shared" si="9"/>
        <v/>
      </c>
      <c r="BO22" s="38" t="str">
        <f t="shared" si="10"/>
        <v/>
      </c>
      <c r="BP22" s="38" t="str">
        <f t="shared" si="11"/>
        <v/>
      </c>
      <c r="BQ22" s="38" t="str">
        <f t="shared" si="12"/>
        <v/>
      </c>
    </row>
    <row r="23" spans="1:69" ht="15.6" x14ac:dyDescent="0.3">
      <c r="A23" s="125"/>
      <c r="B23" s="397">
        <f>IF(ISBLANK(HLOOKUP($F$10,spelerslijsten!$B$1:$J$22,22,FALSE)),"",HLOOKUP($F$10,spelerslijsten!$B$1:$J$22,22,FALSE))</f>
        <v>11</v>
      </c>
      <c r="C23" s="398"/>
      <c r="D23" s="126"/>
      <c r="E23" s="259" t="str">
        <f>IF(ISBLANK(HLOOKUP($F$10,spelerslijsten!$B$1:$J$22,21,FALSE)),"",HLOOKUP($F$10,spelerslijsten!$B$1:$J$22,21,FALSE))</f>
        <v>Finn van der Krift</v>
      </c>
      <c r="F23" s="126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08">
        <f t="shared" si="22"/>
        <v>0</v>
      </c>
      <c r="W23" s="109" t="str">
        <f t="shared" si="13"/>
        <v/>
      </c>
      <c r="X23" s="110" t="str">
        <f t="shared" si="14"/>
        <v/>
      </c>
      <c r="Y23" s="103" t="str">
        <f t="shared" si="15"/>
        <v/>
      </c>
      <c r="Z23" s="111"/>
      <c r="AA23" s="112"/>
      <c r="AB23" s="113" t="str">
        <f t="shared" si="16"/>
        <v>-</v>
      </c>
      <c r="AC23" s="112"/>
      <c r="AD23" s="114"/>
      <c r="AE23" s="115"/>
      <c r="AF23" s="115"/>
      <c r="AG23" s="116"/>
      <c r="AH23" s="117"/>
      <c r="AI23" s="117"/>
      <c r="AJ23" s="342"/>
      <c r="AK23" s="343"/>
      <c r="AL23" s="346"/>
      <c r="AM23" s="347"/>
      <c r="AN23" s="118"/>
      <c r="AO23" s="101" t="str">
        <f t="shared" si="19"/>
        <v/>
      </c>
      <c r="AP23" s="113" t="str">
        <f t="shared" si="20"/>
        <v>-</v>
      </c>
      <c r="AQ23" s="119"/>
      <c r="AR23" s="103" t="str">
        <f t="shared" si="21"/>
        <v/>
      </c>
      <c r="AT23" s="38" t="str">
        <f t="shared" si="17"/>
        <v>W11</v>
      </c>
      <c r="AU23" s="38">
        <f t="shared" si="18"/>
        <v>0</v>
      </c>
      <c r="AY23" s="38" t="str">
        <f t="shared" si="1"/>
        <v/>
      </c>
      <c r="AZ23" s="38" t="str">
        <f t="shared" si="2"/>
        <v>0</v>
      </c>
      <c r="BA23" s="38" t="str">
        <f t="shared" si="3"/>
        <v>0</v>
      </c>
      <c r="BB23" s="38" t="str">
        <f t="shared" si="4"/>
        <v>0</v>
      </c>
      <c r="BC23" s="38">
        <f t="shared" si="5"/>
        <v>0</v>
      </c>
      <c r="BD23" s="38">
        <f t="shared" si="6"/>
        <v>0</v>
      </c>
      <c r="BL23" s="38" t="str">
        <f t="shared" si="7"/>
        <v/>
      </c>
      <c r="BM23" s="38" t="str">
        <f t="shared" si="8"/>
        <v/>
      </c>
      <c r="BN23" s="38" t="str">
        <f t="shared" si="9"/>
        <v/>
      </c>
      <c r="BO23" s="38" t="str">
        <f t="shared" si="10"/>
        <v/>
      </c>
      <c r="BP23" s="38" t="str">
        <f t="shared" si="11"/>
        <v/>
      </c>
      <c r="BQ23" s="38" t="str">
        <f t="shared" si="12"/>
        <v/>
      </c>
    </row>
    <row r="24" spans="1:69" ht="16.2" thickBot="1" x14ac:dyDescent="0.35">
      <c r="A24" s="71" t="s">
        <v>67</v>
      </c>
      <c r="B24" s="72"/>
      <c r="C24" s="72"/>
      <c r="D24" s="72"/>
      <c r="E24" s="72"/>
      <c r="F24" s="72"/>
      <c r="G24" s="72"/>
      <c r="I24" s="399">
        <f>HLOOKUP(F10,spelerslijsten!B1:J25,25,FALSE)</f>
        <v>2</v>
      </c>
      <c r="J24" s="400"/>
      <c r="K24" s="74" t="s">
        <v>23</v>
      </c>
      <c r="L24" s="72"/>
      <c r="M24" s="72"/>
      <c r="N24" s="129" t="str">
        <f>HLOOKUP(F10,spelerslijsten!B1:J25,23,FALSE)</f>
        <v>Kevin van Boekel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30"/>
      <c r="Z24" s="131"/>
      <c r="AA24" s="132"/>
      <c r="AB24" s="133" t="str">
        <f t="shared" si="16"/>
        <v>-</v>
      </c>
      <c r="AC24" s="132"/>
      <c r="AD24" s="134"/>
      <c r="AE24" s="135"/>
      <c r="AF24" s="135"/>
      <c r="AG24" s="136"/>
      <c r="AH24" s="137"/>
      <c r="AI24" s="137"/>
      <c r="AJ24" s="342"/>
      <c r="AK24" s="343"/>
      <c r="AL24" s="350"/>
      <c r="AM24" s="351"/>
      <c r="AN24" s="138"/>
      <c r="AO24" s="101" t="str">
        <f t="shared" si="19"/>
        <v/>
      </c>
      <c r="AP24" s="113" t="str">
        <f t="shared" si="20"/>
        <v>-</v>
      </c>
      <c r="AQ24" s="119"/>
      <c r="AR24" s="103" t="str">
        <f t="shared" si="21"/>
        <v/>
      </c>
      <c r="AY24" s="38" t="str">
        <f t="shared" si="1"/>
        <v/>
      </c>
      <c r="AZ24" s="38" t="str">
        <f t="shared" si="2"/>
        <v>0</v>
      </c>
      <c r="BA24" s="38" t="str">
        <f t="shared" si="3"/>
        <v>0</v>
      </c>
      <c r="BB24" s="38" t="str">
        <f t="shared" si="4"/>
        <v>0</v>
      </c>
      <c r="BC24" s="38">
        <f t="shared" si="5"/>
        <v>0</v>
      </c>
      <c r="BD24" s="38">
        <f t="shared" si="6"/>
        <v>0</v>
      </c>
      <c r="BL24" s="38" t="str">
        <f t="shared" si="7"/>
        <v/>
      </c>
      <c r="BM24" s="38" t="str">
        <f t="shared" si="8"/>
        <v/>
      </c>
      <c r="BN24" s="38" t="str">
        <f t="shared" si="9"/>
        <v/>
      </c>
      <c r="BO24" s="38" t="str">
        <f t="shared" si="10"/>
        <v/>
      </c>
      <c r="BP24" s="38" t="str">
        <f t="shared" si="11"/>
        <v/>
      </c>
      <c r="BQ24" s="38" t="str">
        <f t="shared" si="12"/>
        <v/>
      </c>
    </row>
    <row r="25" spans="1:69" ht="15" customHeight="1" x14ac:dyDescent="0.3">
      <c r="A25" s="78" t="s">
        <v>60</v>
      </c>
      <c r="B25" s="79"/>
      <c r="C25" s="79"/>
      <c r="D25" s="79"/>
      <c r="E25" s="79"/>
      <c r="F25" s="356" t="str">
        <f>+AC7</f>
        <v>De Tubanten 2</v>
      </c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7"/>
      <c r="Z25" s="139"/>
      <c r="AA25" s="140"/>
      <c r="AB25" s="141" t="str">
        <f t="shared" si="16"/>
        <v>-</v>
      </c>
      <c r="AC25" s="140"/>
      <c r="AD25" s="142"/>
      <c r="AE25" s="143"/>
      <c r="AF25" s="143"/>
      <c r="AG25" s="144"/>
      <c r="AH25" s="145"/>
      <c r="AI25" s="145"/>
      <c r="AJ25" s="342"/>
      <c r="AK25" s="343"/>
      <c r="AL25" s="346"/>
      <c r="AM25" s="347"/>
      <c r="AN25" s="146"/>
      <c r="AO25" s="101" t="str">
        <f t="shared" si="19"/>
        <v/>
      </c>
      <c r="AP25" s="113" t="str">
        <f t="shared" si="20"/>
        <v>-</v>
      </c>
      <c r="AQ25" s="119"/>
      <c r="AR25" s="103" t="str">
        <f t="shared" si="21"/>
        <v/>
      </c>
      <c r="AY25" s="38" t="str">
        <f t="shared" si="1"/>
        <v/>
      </c>
      <c r="AZ25" s="38" t="str">
        <f t="shared" si="2"/>
        <v>0</v>
      </c>
      <c r="BA25" s="38" t="str">
        <f t="shared" si="3"/>
        <v>0</v>
      </c>
      <c r="BB25" s="38" t="str">
        <f t="shared" si="4"/>
        <v>0</v>
      </c>
      <c r="BC25" s="38">
        <f t="shared" si="5"/>
        <v>0</v>
      </c>
      <c r="BD25" s="38">
        <f t="shared" si="6"/>
        <v>0</v>
      </c>
      <c r="BL25" s="38" t="str">
        <f t="shared" si="7"/>
        <v/>
      </c>
      <c r="BM25" s="38" t="str">
        <f t="shared" si="8"/>
        <v/>
      </c>
      <c r="BN25" s="38" t="str">
        <f t="shared" si="9"/>
        <v/>
      </c>
      <c r="BO25" s="38" t="str">
        <f t="shared" si="10"/>
        <v/>
      </c>
      <c r="BP25" s="38" t="str">
        <f t="shared" si="11"/>
        <v/>
      </c>
      <c r="BQ25" s="38" t="str">
        <f t="shared" si="12"/>
        <v/>
      </c>
    </row>
    <row r="26" spans="1:69" ht="15" customHeight="1" x14ac:dyDescent="0.3">
      <c r="A26" s="393" t="s">
        <v>24</v>
      </c>
      <c r="B26" s="394"/>
      <c r="C26" s="394"/>
      <c r="D26" s="394"/>
      <c r="E26" s="81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9"/>
      <c r="Z26" s="139"/>
      <c r="AA26" s="140"/>
      <c r="AB26" s="141" t="s">
        <v>16</v>
      </c>
      <c r="AC26" s="140"/>
      <c r="AD26" s="142"/>
      <c r="AE26" s="143"/>
      <c r="AF26" s="143"/>
      <c r="AG26" s="144"/>
      <c r="AH26" s="145"/>
      <c r="AI26" s="145"/>
      <c r="AJ26" s="342"/>
      <c r="AK26" s="343"/>
      <c r="AL26" s="346"/>
      <c r="AM26" s="347"/>
      <c r="AN26" s="146"/>
      <c r="AO26" s="101" t="str">
        <f t="shared" si="19"/>
        <v/>
      </c>
      <c r="AP26" s="113" t="str">
        <f t="shared" si="20"/>
        <v>-</v>
      </c>
      <c r="AQ26" s="119"/>
      <c r="AR26" s="103" t="str">
        <f t="shared" si="21"/>
        <v/>
      </c>
      <c r="AY26" s="38" t="str">
        <f t="shared" si="1"/>
        <v/>
      </c>
      <c r="AZ26" s="38" t="str">
        <f t="shared" si="2"/>
        <v>0</v>
      </c>
      <c r="BA26" s="38" t="str">
        <f t="shared" si="3"/>
        <v>0</v>
      </c>
      <c r="BB26" s="38" t="str">
        <f t="shared" si="4"/>
        <v>0</v>
      </c>
      <c r="BC26" s="38">
        <f t="shared" si="5"/>
        <v>0</v>
      </c>
      <c r="BD26" s="38">
        <f t="shared" si="6"/>
        <v>0</v>
      </c>
      <c r="BL26" s="38" t="str">
        <f t="shared" si="7"/>
        <v/>
      </c>
      <c r="BM26" s="38" t="str">
        <f t="shared" si="8"/>
        <v/>
      </c>
      <c r="BN26" s="38" t="str">
        <f t="shared" si="9"/>
        <v/>
      </c>
      <c r="BO26" s="38" t="str">
        <f t="shared" si="10"/>
        <v/>
      </c>
      <c r="BP26" s="38" t="str">
        <f t="shared" si="11"/>
        <v/>
      </c>
      <c r="BQ26" s="38" t="str">
        <f t="shared" si="12"/>
        <v/>
      </c>
    </row>
    <row r="27" spans="1:69" ht="15.6" x14ac:dyDescent="0.3">
      <c r="A27" s="393"/>
      <c r="B27" s="394"/>
      <c r="C27" s="394"/>
      <c r="D27" s="394"/>
      <c r="E27" s="81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9"/>
      <c r="Z27" s="139"/>
      <c r="AA27" s="140"/>
      <c r="AB27" s="141" t="s">
        <v>16</v>
      </c>
      <c r="AC27" s="140"/>
      <c r="AD27" s="142"/>
      <c r="AE27" s="143"/>
      <c r="AF27" s="143"/>
      <c r="AG27" s="144"/>
      <c r="AH27" s="145"/>
      <c r="AI27" s="145"/>
      <c r="AJ27" s="342"/>
      <c r="AK27" s="343"/>
      <c r="AL27" s="346"/>
      <c r="AM27" s="347"/>
      <c r="AN27" s="146"/>
      <c r="AO27" s="101" t="str">
        <f t="shared" si="19"/>
        <v/>
      </c>
      <c r="AP27" s="113" t="str">
        <f t="shared" si="20"/>
        <v>-</v>
      </c>
      <c r="AQ27" s="119"/>
      <c r="AR27" s="103" t="str">
        <f t="shared" si="21"/>
        <v/>
      </c>
      <c r="AY27" s="38" t="str">
        <f t="shared" si="1"/>
        <v/>
      </c>
      <c r="AZ27" s="38" t="str">
        <f t="shared" si="2"/>
        <v>0</v>
      </c>
      <c r="BA27" s="38" t="str">
        <f t="shared" si="3"/>
        <v>0</v>
      </c>
      <c r="BB27" s="38" t="str">
        <f t="shared" si="4"/>
        <v>0</v>
      </c>
      <c r="BC27" s="38">
        <f t="shared" si="5"/>
        <v>0</v>
      </c>
      <c r="BD27" s="38">
        <f t="shared" si="6"/>
        <v>0</v>
      </c>
      <c r="BL27" s="38" t="str">
        <f t="shared" si="7"/>
        <v/>
      </c>
      <c r="BM27" s="38" t="str">
        <f t="shared" si="8"/>
        <v/>
      </c>
      <c r="BN27" s="38" t="str">
        <f t="shared" si="9"/>
        <v/>
      </c>
      <c r="BO27" s="38" t="str">
        <f t="shared" si="10"/>
        <v/>
      </c>
      <c r="BP27" s="38" t="str">
        <f t="shared" si="11"/>
        <v/>
      </c>
      <c r="BQ27" s="38" t="str">
        <f t="shared" si="12"/>
        <v/>
      </c>
    </row>
    <row r="28" spans="1:69" ht="15.6" x14ac:dyDescent="0.3">
      <c r="A28" s="395"/>
      <c r="B28" s="396"/>
      <c r="C28" s="396"/>
      <c r="D28" s="396"/>
      <c r="E28" s="81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1"/>
      <c r="Z28" s="147"/>
      <c r="AA28" s="140"/>
      <c r="AB28" s="148" t="str">
        <f>+AB25</f>
        <v>-</v>
      </c>
      <c r="AC28" s="140"/>
      <c r="AD28" s="142"/>
      <c r="AE28" s="143"/>
      <c r="AF28" s="143"/>
      <c r="AG28" s="144"/>
      <c r="AH28" s="145"/>
      <c r="AI28" s="145"/>
      <c r="AJ28" s="342"/>
      <c r="AK28" s="343"/>
      <c r="AL28" s="346"/>
      <c r="AM28" s="347"/>
      <c r="AN28" s="146"/>
      <c r="AO28" s="101" t="str">
        <f t="shared" si="19"/>
        <v/>
      </c>
      <c r="AP28" s="113" t="str">
        <f t="shared" si="20"/>
        <v>-</v>
      </c>
      <c r="AQ28" s="119"/>
      <c r="AR28" s="103" t="str">
        <f t="shared" si="21"/>
        <v/>
      </c>
      <c r="AY28" s="38" t="str">
        <f t="shared" si="1"/>
        <v/>
      </c>
      <c r="AZ28" s="38" t="str">
        <f t="shared" si="2"/>
        <v>0</v>
      </c>
      <c r="BA28" s="38" t="str">
        <f t="shared" si="3"/>
        <v>0</v>
      </c>
      <c r="BB28" s="38" t="str">
        <f t="shared" si="4"/>
        <v>0</v>
      </c>
      <c r="BC28" s="38">
        <f t="shared" si="5"/>
        <v>0</v>
      </c>
      <c r="BD28" s="38">
        <f t="shared" si="6"/>
        <v>0</v>
      </c>
      <c r="BL28" s="38" t="str">
        <f t="shared" si="7"/>
        <v/>
      </c>
      <c r="BM28" s="38" t="str">
        <f t="shared" si="8"/>
        <v/>
      </c>
      <c r="BN28" s="38" t="str">
        <f t="shared" si="9"/>
        <v/>
      </c>
      <c r="BO28" s="38" t="str">
        <f t="shared" si="10"/>
        <v/>
      </c>
      <c r="BP28" s="38" t="str">
        <f t="shared" si="11"/>
        <v/>
      </c>
      <c r="BQ28" s="38" t="str">
        <f t="shared" si="12"/>
        <v/>
      </c>
    </row>
    <row r="29" spans="1:69" ht="15.6" x14ac:dyDescent="0.3">
      <c r="A29" s="86" t="s">
        <v>0</v>
      </c>
      <c r="B29" s="87" t="s">
        <v>1</v>
      </c>
      <c r="C29" s="64"/>
      <c r="D29" s="89"/>
      <c r="E29" s="88" t="s">
        <v>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90"/>
      <c r="V29" s="91" t="s">
        <v>3</v>
      </c>
      <c r="W29" s="91" t="s">
        <v>4</v>
      </c>
      <c r="X29" s="91" t="s">
        <v>5</v>
      </c>
      <c r="Y29" s="92" t="s">
        <v>6</v>
      </c>
      <c r="Z29" s="111"/>
      <c r="AA29" s="149"/>
      <c r="AB29" s="150" t="str">
        <f t="shared" si="16"/>
        <v>-</v>
      </c>
      <c r="AC29" s="149"/>
      <c r="AD29" s="151"/>
      <c r="AE29" s="152"/>
      <c r="AF29" s="152"/>
      <c r="AG29" s="153"/>
      <c r="AH29" s="154"/>
      <c r="AI29" s="154"/>
      <c r="AJ29" s="342"/>
      <c r="AK29" s="343"/>
      <c r="AL29" s="348"/>
      <c r="AM29" s="349"/>
      <c r="AN29" s="155"/>
      <c r="AO29" s="101" t="str">
        <f t="shared" si="19"/>
        <v/>
      </c>
      <c r="AP29" s="113" t="str">
        <f t="shared" si="20"/>
        <v>-</v>
      </c>
      <c r="AQ29" s="119"/>
      <c r="AR29" s="103" t="str">
        <f t="shared" si="21"/>
        <v/>
      </c>
      <c r="AY29" s="38" t="str">
        <f t="shared" si="1"/>
        <v/>
      </c>
      <c r="AZ29" s="38" t="str">
        <f t="shared" si="2"/>
        <v>0</v>
      </c>
      <c r="BA29" s="38" t="str">
        <f t="shared" si="3"/>
        <v>0</v>
      </c>
      <c r="BB29" s="38" t="str">
        <f t="shared" si="4"/>
        <v>0</v>
      </c>
      <c r="BC29" s="38">
        <f t="shared" si="5"/>
        <v>0</v>
      </c>
      <c r="BD29" s="38">
        <f t="shared" si="6"/>
        <v>0</v>
      </c>
      <c r="BL29" s="38" t="str">
        <f t="shared" si="7"/>
        <v/>
      </c>
      <c r="BM29" s="38" t="str">
        <f t="shared" si="8"/>
        <v/>
      </c>
      <c r="BN29" s="38" t="str">
        <f t="shared" si="9"/>
        <v/>
      </c>
      <c r="BO29" s="38" t="str">
        <f t="shared" si="10"/>
        <v/>
      </c>
      <c r="BP29" s="38" t="str">
        <f t="shared" si="11"/>
        <v/>
      </c>
      <c r="BQ29" s="38" t="str">
        <f t="shared" si="12"/>
        <v/>
      </c>
    </row>
    <row r="30" spans="1:69" ht="15.6" x14ac:dyDescent="0.3">
      <c r="A30" s="104" t="s">
        <v>265</v>
      </c>
      <c r="B30" s="397">
        <f>IF(ISBLANK(HLOOKUP($F$25,spelerslijsten!$B$1:$J$22,4,FALSE)),"",HLOOKUP($F$25,spelerslijsten!$B$1:$J$22,4,FALSE))</f>
        <v>2</v>
      </c>
      <c r="C30" s="398"/>
      <c r="D30" s="105"/>
      <c r="E30" s="106" t="str">
        <f>IF(ISBLANK(HLOOKUP($F$25,spelerslijsten!$B$1:$J$22,3,FALSE)),"",HLOOKUP($F$25,spelerslijsten!$B$1:$J$22,3,FALSE))</f>
        <v>Yevgeni Petrov</v>
      </c>
      <c r="F30" s="105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8">
        <f t="shared" ref="V30:V39" si="23">SUMIF($AY$13:$AY$46,AT30,$BC$13:$BC$46)</f>
        <v>0</v>
      </c>
      <c r="W30" s="109" t="str">
        <f>IF(AU30&gt;0,"x","")</f>
        <v/>
      </c>
      <c r="X30" s="110" t="str">
        <f>IF(AU30&gt;1,"x","")</f>
        <v/>
      </c>
      <c r="Y30" s="103" t="str">
        <f>IF(AU30&gt;2,"x","")</f>
        <v/>
      </c>
      <c r="Z30" s="111"/>
      <c r="AA30" s="112"/>
      <c r="AB30" s="113" t="str">
        <f t="shared" si="16"/>
        <v>-</v>
      </c>
      <c r="AC30" s="112"/>
      <c r="AD30" s="114"/>
      <c r="AE30" s="115"/>
      <c r="AF30" s="115"/>
      <c r="AG30" s="116"/>
      <c r="AH30" s="117"/>
      <c r="AI30" s="117"/>
      <c r="AJ30" s="342"/>
      <c r="AK30" s="343"/>
      <c r="AL30" s="346"/>
      <c r="AM30" s="347"/>
      <c r="AN30" s="118"/>
      <c r="AO30" s="101" t="str">
        <f t="shared" si="19"/>
        <v/>
      </c>
      <c r="AP30" s="113" t="str">
        <f t="shared" si="20"/>
        <v>-</v>
      </c>
      <c r="AQ30" s="119"/>
      <c r="AR30" s="103" t="str">
        <f t="shared" si="21"/>
        <v/>
      </c>
      <c r="AT30" s="38" t="str">
        <f>CONCATENATE($AV$11&amp;B30)</f>
        <v>B2</v>
      </c>
      <c r="AU30" s="38">
        <f t="shared" si="18"/>
        <v>0</v>
      </c>
      <c r="AY30" s="38" t="str">
        <f t="shared" si="1"/>
        <v/>
      </c>
      <c r="AZ30" s="38" t="str">
        <f t="shared" si="2"/>
        <v>0</v>
      </c>
      <c r="BA30" s="38" t="str">
        <f t="shared" si="3"/>
        <v>0</v>
      </c>
      <c r="BB30" s="38" t="str">
        <f t="shared" si="4"/>
        <v>0</v>
      </c>
      <c r="BC30" s="38">
        <f t="shared" si="5"/>
        <v>0</v>
      </c>
      <c r="BD30" s="38">
        <f t="shared" si="6"/>
        <v>0</v>
      </c>
      <c r="BL30" s="38" t="str">
        <f t="shared" si="7"/>
        <v/>
      </c>
      <c r="BM30" s="38" t="str">
        <f t="shared" si="8"/>
        <v/>
      </c>
      <c r="BN30" s="38" t="str">
        <f t="shared" si="9"/>
        <v/>
      </c>
      <c r="BO30" s="38" t="str">
        <f t="shared" si="10"/>
        <v/>
      </c>
      <c r="BP30" s="38" t="str">
        <f t="shared" si="11"/>
        <v/>
      </c>
      <c r="BQ30" s="38" t="str">
        <f t="shared" si="12"/>
        <v/>
      </c>
    </row>
    <row r="31" spans="1:69" ht="15.6" x14ac:dyDescent="0.3">
      <c r="A31" s="120" t="s">
        <v>265</v>
      </c>
      <c r="B31" s="397">
        <f>IF(ISBLANK(HLOOKUP($F$25,spelerslijsten!$B$1:$J$22,6,FALSE)),"",HLOOKUP($F$25,spelerslijsten!$B$1:$J$22,6,FALSE))</f>
        <v>3</v>
      </c>
      <c r="C31" s="398"/>
      <c r="D31" s="121"/>
      <c r="E31" s="122" t="str">
        <f>IF(ISBLANK(HLOOKUP($F$25,spelerslijsten!$B$1:$J$22,5,FALSE)),"",HLOOKUP($F$25,spelerslijsten!$B$1:$J$22,5,FALSE))</f>
        <v>Monique Bijker</v>
      </c>
      <c r="F31" s="12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08">
        <f t="shared" si="23"/>
        <v>0</v>
      </c>
      <c r="W31" s="109" t="str">
        <f t="shared" ref="W31:W39" si="24">IF(AU31&gt;0,"x","")</f>
        <v/>
      </c>
      <c r="X31" s="110" t="str">
        <f t="shared" ref="X31:X39" si="25">IF(AU31&gt;1,"x","")</f>
        <v/>
      </c>
      <c r="Y31" s="103" t="str">
        <f t="shared" ref="Y31:Y39" si="26">IF(AU31&gt;2,"x","")</f>
        <v/>
      </c>
      <c r="Z31" s="111"/>
      <c r="AA31" s="112"/>
      <c r="AB31" s="113" t="str">
        <f t="shared" si="16"/>
        <v>-</v>
      </c>
      <c r="AC31" s="112"/>
      <c r="AD31" s="114"/>
      <c r="AE31" s="115"/>
      <c r="AF31" s="115"/>
      <c r="AG31" s="116"/>
      <c r="AH31" s="117"/>
      <c r="AI31" s="117"/>
      <c r="AJ31" s="342"/>
      <c r="AK31" s="343"/>
      <c r="AL31" s="346"/>
      <c r="AM31" s="347"/>
      <c r="AN31" s="118"/>
      <c r="AO31" s="101" t="str">
        <f t="shared" si="19"/>
        <v/>
      </c>
      <c r="AP31" s="113" t="str">
        <f t="shared" si="20"/>
        <v>-</v>
      </c>
      <c r="AQ31" s="119"/>
      <c r="AR31" s="103" t="str">
        <f t="shared" si="21"/>
        <v/>
      </c>
      <c r="AT31" s="38" t="str">
        <f t="shared" ref="AT31:AT39" si="27">CONCATENATE($AV$11&amp;B31)</f>
        <v>B3</v>
      </c>
      <c r="AU31" s="38">
        <f t="shared" si="18"/>
        <v>0</v>
      </c>
      <c r="AY31" s="38" t="str">
        <f t="shared" si="1"/>
        <v/>
      </c>
      <c r="AZ31" s="38" t="str">
        <f t="shared" si="2"/>
        <v>0</v>
      </c>
      <c r="BA31" s="38" t="str">
        <f t="shared" si="3"/>
        <v>0</v>
      </c>
      <c r="BB31" s="38" t="str">
        <f t="shared" si="4"/>
        <v>0</v>
      </c>
      <c r="BC31" s="38">
        <f t="shared" si="5"/>
        <v>0</v>
      </c>
      <c r="BD31" s="38">
        <f t="shared" si="6"/>
        <v>0</v>
      </c>
      <c r="BL31" s="38" t="str">
        <f t="shared" si="7"/>
        <v/>
      </c>
      <c r="BM31" s="38" t="str">
        <f t="shared" si="8"/>
        <v/>
      </c>
      <c r="BN31" s="38" t="str">
        <f t="shared" si="9"/>
        <v/>
      </c>
      <c r="BO31" s="38" t="str">
        <f t="shared" si="10"/>
        <v/>
      </c>
      <c r="BP31" s="38" t="str">
        <f t="shared" si="11"/>
        <v/>
      </c>
      <c r="BQ31" s="38" t="str">
        <f t="shared" si="12"/>
        <v/>
      </c>
    </row>
    <row r="32" spans="1:69" ht="15.6" x14ac:dyDescent="0.3">
      <c r="A32" s="124" t="s">
        <v>265</v>
      </c>
      <c r="B32" s="397">
        <f>IF(ISBLANK(HLOOKUP($F$25,spelerslijsten!$B$1:$J$22,8,FALSE)),"",HLOOKUP($F$25,spelerslijsten!$B$1:$J$22,8,FALSE))</f>
        <v>4</v>
      </c>
      <c r="C32" s="398"/>
      <c r="D32" s="121"/>
      <c r="E32" s="122" t="str">
        <f>IF(ISBLANK(HLOOKUP($F$25,spelerslijsten!$B$1:$J$22,7,FALSE)),"",HLOOKUP($F$25,spelerslijsten!$B$1:$J$22,7,FALSE))</f>
        <v>Leon Bijker</v>
      </c>
      <c r="F32" s="12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08">
        <f t="shared" si="23"/>
        <v>1</v>
      </c>
      <c r="W32" s="109" t="str">
        <f t="shared" si="24"/>
        <v/>
      </c>
      <c r="X32" s="110" t="str">
        <f t="shared" si="25"/>
        <v/>
      </c>
      <c r="Y32" s="103" t="str">
        <f t="shared" si="26"/>
        <v/>
      </c>
      <c r="Z32" s="111"/>
      <c r="AA32" s="112"/>
      <c r="AB32" s="113" t="str">
        <f t="shared" si="16"/>
        <v>-</v>
      </c>
      <c r="AC32" s="112"/>
      <c r="AD32" s="114"/>
      <c r="AE32" s="115"/>
      <c r="AF32" s="115"/>
      <c r="AG32" s="116"/>
      <c r="AH32" s="117"/>
      <c r="AI32" s="117"/>
      <c r="AJ32" s="342"/>
      <c r="AK32" s="343"/>
      <c r="AL32" s="346"/>
      <c r="AM32" s="347"/>
      <c r="AN32" s="118"/>
      <c r="AO32" s="101" t="str">
        <f t="shared" si="19"/>
        <v/>
      </c>
      <c r="AP32" s="113" t="str">
        <f t="shared" si="20"/>
        <v>-</v>
      </c>
      <c r="AQ32" s="119"/>
      <c r="AR32" s="103" t="str">
        <f t="shared" si="21"/>
        <v/>
      </c>
      <c r="AT32" s="38" t="str">
        <f t="shared" si="27"/>
        <v>B4</v>
      </c>
      <c r="AU32" s="38">
        <f t="shared" si="18"/>
        <v>0</v>
      </c>
      <c r="AY32" s="38" t="str">
        <f t="shared" si="1"/>
        <v/>
      </c>
      <c r="AZ32" s="38" t="str">
        <f t="shared" si="2"/>
        <v>0</v>
      </c>
      <c r="BA32" s="38" t="str">
        <f t="shared" si="3"/>
        <v>0</v>
      </c>
      <c r="BB32" s="38" t="str">
        <f t="shared" si="4"/>
        <v>0</v>
      </c>
      <c r="BC32" s="38">
        <f t="shared" si="5"/>
        <v>0</v>
      </c>
      <c r="BD32" s="38">
        <f t="shared" si="6"/>
        <v>0</v>
      </c>
      <c r="BL32" s="38" t="str">
        <f t="shared" si="7"/>
        <v/>
      </c>
      <c r="BM32" s="38" t="str">
        <f t="shared" si="8"/>
        <v/>
      </c>
      <c r="BN32" s="38" t="str">
        <f t="shared" si="9"/>
        <v/>
      </c>
      <c r="BO32" s="38" t="str">
        <f t="shared" si="10"/>
        <v/>
      </c>
      <c r="BP32" s="38" t="str">
        <f t="shared" si="11"/>
        <v/>
      </c>
      <c r="BQ32" s="38" t="str">
        <f t="shared" si="12"/>
        <v/>
      </c>
    </row>
    <row r="33" spans="1:69" ht="15.6" x14ac:dyDescent="0.3">
      <c r="A33" s="124" t="s">
        <v>265</v>
      </c>
      <c r="B33" s="397">
        <f>IF(ISBLANK(HLOOKUP($F$25,spelerslijsten!$B$1:$J$22,10,FALSE)),"",HLOOKUP($F$25,spelerslijsten!$B$1:$J$22,10,FALSE))</f>
        <v>5</v>
      </c>
      <c r="C33" s="398"/>
      <c r="D33" s="121"/>
      <c r="E33" s="122" t="str">
        <f>IF(ISBLANK(HLOOKUP($F$25,spelerslijsten!$B$1:$J$22,9,FALSE)),"",HLOOKUP($F$25,spelerslijsten!$B$1:$J$22,9,FALSE))</f>
        <v>Noah Hazelhoff</v>
      </c>
      <c r="F33" s="12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08">
        <f t="shared" si="23"/>
        <v>3</v>
      </c>
      <c r="W33" s="109" t="str">
        <f t="shared" si="24"/>
        <v/>
      </c>
      <c r="X33" s="110" t="str">
        <f t="shared" si="25"/>
        <v/>
      </c>
      <c r="Y33" s="103" t="str">
        <f t="shared" si="26"/>
        <v/>
      </c>
      <c r="Z33" s="111"/>
      <c r="AA33" s="112"/>
      <c r="AB33" s="113" t="str">
        <f t="shared" si="16"/>
        <v>-</v>
      </c>
      <c r="AC33" s="112"/>
      <c r="AD33" s="114"/>
      <c r="AE33" s="115"/>
      <c r="AF33" s="115"/>
      <c r="AG33" s="116"/>
      <c r="AH33" s="117"/>
      <c r="AI33" s="117"/>
      <c r="AJ33" s="342"/>
      <c r="AK33" s="343"/>
      <c r="AL33" s="346"/>
      <c r="AM33" s="347"/>
      <c r="AN33" s="118"/>
      <c r="AO33" s="101" t="str">
        <f t="shared" si="19"/>
        <v/>
      </c>
      <c r="AP33" s="113" t="str">
        <f t="shared" si="20"/>
        <v>-</v>
      </c>
      <c r="AQ33" s="119"/>
      <c r="AR33" s="103" t="str">
        <f t="shared" si="21"/>
        <v/>
      </c>
      <c r="AT33" s="38" t="str">
        <f t="shared" si="27"/>
        <v>B5</v>
      </c>
      <c r="AU33" s="38">
        <f t="shared" si="18"/>
        <v>0</v>
      </c>
      <c r="AY33" s="38" t="str">
        <f t="shared" si="1"/>
        <v/>
      </c>
      <c r="AZ33" s="38" t="str">
        <f t="shared" si="2"/>
        <v>0</v>
      </c>
      <c r="BA33" s="38" t="str">
        <f t="shared" si="3"/>
        <v>0</v>
      </c>
      <c r="BB33" s="38" t="str">
        <f t="shared" si="4"/>
        <v>0</v>
      </c>
      <c r="BC33" s="38">
        <f t="shared" si="5"/>
        <v>0</v>
      </c>
      <c r="BD33" s="38">
        <f t="shared" si="6"/>
        <v>0</v>
      </c>
      <c r="BL33" s="38" t="str">
        <f t="shared" si="7"/>
        <v/>
      </c>
      <c r="BM33" s="38" t="str">
        <f t="shared" si="8"/>
        <v/>
      </c>
      <c r="BN33" s="38" t="str">
        <f t="shared" si="9"/>
        <v/>
      </c>
      <c r="BO33" s="38" t="str">
        <f t="shared" si="10"/>
        <v/>
      </c>
      <c r="BP33" s="38" t="str">
        <f t="shared" si="11"/>
        <v/>
      </c>
      <c r="BQ33" s="38" t="str">
        <f t="shared" si="12"/>
        <v/>
      </c>
    </row>
    <row r="34" spans="1:69" ht="15.6" x14ac:dyDescent="0.3">
      <c r="A34" s="124" t="s">
        <v>265</v>
      </c>
      <c r="B34" s="397">
        <f>IF(ISBLANK(HLOOKUP($F$25,spelerslijsten!$B$1:$J$22,12,FALSE)),"",HLOOKUP($F$25,spelerslijsten!$B$1:$J$22,12,FALSE))</f>
        <v>6</v>
      </c>
      <c r="C34" s="398"/>
      <c r="D34" s="121"/>
      <c r="E34" s="122" t="str">
        <f>IF(ISBLANK(HLOOKUP($F$25,spelerslijsten!$B$1:$J$22,11,FALSE)),"",HLOOKUP($F$25,spelerslijsten!$B$1:$J$22,11,FALSE))</f>
        <v>Joran van Achteren</v>
      </c>
      <c r="F34" s="12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08">
        <f t="shared" si="23"/>
        <v>0</v>
      </c>
      <c r="W34" s="109" t="str">
        <f t="shared" si="24"/>
        <v/>
      </c>
      <c r="X34" s="110" t="str">
        <f t="shared" si="25"/>
        <v/>
      </c>
      <c r="Y34" s="103" t="str">
        <f t="shared" si="26"/>
        <v/>
      </c>
      <c r="Z34" s="111"/>
      <c r="AA34" s="112"/>
      <c r="AB34" s="113" t="str">
        <f t="shared" si="16"/>
        <v>-</v>
      </c>
      <c r="AC34" s="112"/>
      <c r="AD34" s="114"/>
      <c r="AE34" s="115"/>
      <c r="AF34" s="115"/>
      <c r="AG34" s="116"/>
      <c r="AH34" s="117"/>
      <c r="AI34" s="117"/>
      <c r="AJ34" s="342"/>
      <c r="AK34" s="343"/>
      <c r="AL34" s="346"/>
      <c r="AM34" s="347"/>
      <c r="AN34" s="118"/>
      <c r="AO34" s="101" t="str">
        <f t="shared" si="19"/>
        <v/>
      </c>
      <c r="AP34" s="113" t="str">
        <f t="shared" si="20"/>
        <v>-</v>
      </c>
      <c r="AQ34" s="119"/>
      <c r="AR34" s="103" t="str">
        <f t="shared" si="21"/>
        <v/>
      </c>
      <c r="AT34" s="38" t="str">
        <f t="shared" si="27"/>
        <v>B6</v>
      </c>
      <c r="AU34" s="38">
        <f t="shared" si="18"/>
        <v>0</v>
      </c>
      <c r="AY34" s="38" t="str">
        <f t="shared" si="1"/>
        <v/>
      </c>
      <c r="AZ34" s="38" t="str">
        <f t="shared" si="2"/>
        <v>0</v>
      </c>
      <c r="BA34" s="38" t="str">
        <f t="shared" si="3"/>
        <v>0</v>
      </c>
      <c r="BB34" s="38" t="str">
        <f t="shared" si="4"/>
        <v>0</v>
      </c>
      <c r="BC34" s="38">
        <f t="shared" si="5"/>
        <v>0</v>
      </c>
      <c r="BD34" s="38">
        <f t="shared" si="6"/>
        <v>0</v>
      </c>
      <c r="BL34" s="38" t="str">
        <f t="shared" si="7"/>
        <v/>
      </c>
      <c r="BM34" s="38" t="str">
        <f t="shared" si="8"/>
        <v/>
      </c>
      <c r="BN34" s="38" t="str">
        <f t="shared" si="9"/>
        <v/>
      </c>
      <c r="BO34" s="38" t="str">
        <f t="shared" si="10"/>
        <v/>
      </c>
      <c r="BP34" s="38" t="str">
        <f t="shared" si="11"/>
        <v/>
      </c>
      <c r="BQ34" s="38" t="str">
        <f t="shared" si="12"/>
        <v/>
      </c>
    </row>
    <row r="35" spans="1:69" ht="15.6" x14ac:dyDescent="0.3">
      <c r="A35" s="124"/>
      <c r="B35" s="397">
        <f>IF(ISBLANK(HLOOKUP($F$25,spelerslijsten!$B$1:$J$22,14,FALSE)),"",HLOOKUP($F$25,spelerslijsten!$B$1:$J$22,14,FALSE))</f>
        <v>7</v>
      </c>
      <c r="C35" s="398"/>
      <c r="D35" s="121"/>
      <c r="E35" s="122" t="str">
        <f>IF(ISBLANK(HLOOKUP($F$25,spelerslijsten!$B$1:$J$22,13,FALSE)),"",HLOOKUP($F$25,spelerslijsten!$B$1:$J$22,13,FALSE))</f>
        <v>Maiker Arends</v>
      </c>
      <c r="F35" s="12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08">
        <f t="shared" si="23"/>
        <v>0</v>
      </c>
      <c r="W35" s="109" t="str">
        <f t="shared" si="24"/>
        <v/>
      </c>
      <c r="X35" s="110" t="str">
        <f t="shared" si="25"/>
        <v/>
      </c>
      <c r="Y35" s="103" t="str">
        <f t="shared" si="26"/>
        <v/>
      </c>
      <c r="Z35" s="111"/>
      <c r="AA35" s="112"/>
      <c r="AB35" s="113" t="str">
        <f t="shared" si="16"/>
        <v>-</v>
      </c>
      <c r="AC35" s="112"/>
      <c r="AD35" s="114"/>
      <c r="AE35" s="115"/>
      <c r="AF35" s="115"/>
      <c r="AG35" s="116"/>
      <c r="AH35" s="117"/>
      <c r="AI35" s="117"/>
      <c r="AJ35" s="342"/>
      <c r="AK35" s="343"/>
      <c r="AL35" s="346"/>
      <c r="AM35" s="347"/>
      <c r="AN35" s="118"/>
      <c r="AO35" s="101" t="str">
        <f t="shared" si="19"/>
        <v/>
      </c>
      <c r="AP35" s="113" t="str">
        <f t="shared" si="20"/>
        <v>-</v>
      </c>
      <c r="AQ35" s="119"/>
      <c r="AR35" s="103" t="str">
        <f t="shared" si="21"/>
        <v/>
      </c>
      <c r="AT35" s="38" t="str">
        <f t="shared" si="27"/>
        <v>B7</v>
      </c>
      <c r="AU35" s="38">
        <f t="shared" si="18"/>
        <v>0</v>
      </c>
      <c r="AY35" s="38" t="str">
        <f t="shared" si="1"/>
        <v/>
      </c>
      <c r="AZ35" s="38" t="str">
        <f t="shared" si="2"/>
        <v>0</v>
      </c>
      <c r="BA35" s="38" t="str">
        <f t="shared" si="3"/>
        <v>0</v>
      </c>
      <c r="BB35" s="38" t="str">
        <f t="shared" si="4"/>
        <v>0</v>
      </c>
      <c r="BC35" s="38">
        <f t="shared" si="5"/>
        <v>0</v>
      </c>
      <c r="BD35" s="38">
        <f t="shared" si="6"/>
        <v>0</v>
      </c>
      <c r="BL35" s="38" t="str">
        <f t="shared" si="7"/>
        <v/>
      </c>
      <c r="BM35" s="38" t="str">
        <f t="shared" si="8"/>
        <v/>
      </c>
      <c r="BN35" s="38" t="str">
        <f t="shared" si="9"/>
        <v/>
      </c>
      <c r="BO35" s="38" t="str">
        <f t="shared" si="10"/>
        <v/>
      </c>
      <c r="BP35" s="38" t="str">
        <f t="shared" si="11"/>
        <v/>
      </c>
      <c r="BQ35" s="38" t="str">
        <f t="shared" si="12"/>
        <v/>
      </c>
    </row>
    <row r="36" spans="1:69" ht="15.6" x14ac:dyDescent="0.3">
      <c r="A36" s="124"/>
      <c r="B36" s="397">
        <f>IF(ISBLANK(HLOOKUP($F$25,spelerslijsten!$B$1:$J$22,16,FALSE)),"",HLOOKUP($F$25,spelerslijsten!$B$1:$J$22,16,FALSE))</f>
        <v>9</v>
      </c>
      <c r="C36" s="398"/>
      <c r="D36" s="121"/>
      <c r="E36" s="122" t="str">
        <f>IF(ISBLANK(HLOOKUP($F$25,spelerslijsten!$B$1:$J$22,15,FALSE)),"",HLOOKUP($F$25,spelerslijsten!$B$1:$J$22,15,FALSE))</f>
        <v>Wouter van Schip</v>
      </c>
      <c r="F36" s="12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08">
        <f t="shared" si="23"/>
        <v>0</v>
      </c>
      <c r="W36" s="109" t="str">
        <f t="shared" si="24"/>
        <v/>
      </c>
      <c r="X36" s="110" t="str">
        <f t="shared" si="25"/>
        <v/>
      </c>
      <c r="Y36" s="103" t="str">
        <f t="shared" si="26"/>
        <v/>
      </c>
      <c r="Z36" s="111"/>
      <c r="AA36" s="112"/>
      <c r="AB36" s="113" t="str">
        <f t="shared" si="16"/>
        <v>-</v>
      </c>
      <c r="AC36" s="112"/>
      <c r="AD36" s="114"/>
      <c r="AE36" s="115"/>
      <c r="AF36" s="115"/>
      <c r="AG36" s="116"/>
      <c r="AH36" s="117"/>
      <c r="AI36" s="117"/>
      <c r="AJ36" s="342"/>
      <c r="AK36" s="343"/>
      <c r="AL36" s="346"/>
      <c r="AM36" s="347"/>
      <c r="AN36" s="118"/>
      <c r="AO36" s="101" t="str">
        <f t="shared" si="19"/>
        <v/>
      </c>
      <c r="AP36" s="113" t="str">
        <f t="shared" si="20"/>
        <v>-</v>
      </c>
      <c r="AQ36" s="119"/>
      <c r="AR36" s="103" t="str">
        <f t="shared" si="21"/>
        <v/>
      </c>
      <c r="AT36" s="38" t="str">
        <f t="shared" si="27"/>
        <v>B9</v>
      </c>
      <c r="AU36" s="38">
        <f t="shared" si="18"/>
        <v>0</v>
      </c>
      <c r="AY36" s="38" t="str">
        <f t="shared" si="1"/>
        <v/>
      </c>
      <c r="AZ36" s="38" t="str">
        <f t="shared" si="2"/>
        <v>0</v>
      </c>
      <c r="BA36" s="38" t="str">
        <f t="shared" si="3"/>
        <v>0</v>
      </c>
      <c r="BB36" s="38" t="str">
        <f t="shared" si="4"/>
        <v>0</v>
      </c>
      <c r="BC36" s="38">
        <f t="shared" si="5"/>
        <v>0</v>
      </c>
      <c r="BD36" s="38">
        <f t="shared" si="6"/>
        <v>0</v>
      </c>
      <c r="BL36" s="38" t="str">
        <f t="shared" si="7"/>
        <v/>
      </c>
      <c r="BM36" s="38" t="str">
        <f t="shared" si="8"/>
        <v/>
      </c>
      <c r="BN36" s="38" t="str">
        <f t="shared" si="9"/>
        <v/>
      </c>
      <c r="BO36" s="38" t="str">
        <f t="shared" si="10"/>
        <v/>
      </c>
      <c r="BP36" s="38" t="str">
        <f t="shared" si="11"/>
        <v/>
      </c>
      <c r="BQ36" s="38" t="str">
        <f t="shared" si="12"/>
        <v/>
      </c>
    </row>
    <row r="37" spans="1:69" ht="15.6" x14ac:dyDescent="0.3">
      <c r="A37" s="124" t="s">
        <v>265</v>
      </c>
      <c r="B37" s="397">
        <f>IF(ISBLANK(HLOOKUP($F$25,spelerslijsten!$B$1:$J$22,18,FALSE)),"",HLOOKUP($F$25,spelerslijsten!$B$1:$J$22,18,FALSE))</f>
        <v>10</v>
      </c>
      <c r="C37" s="398"/>
      <c r="D37" s="121"/>
      <c r="E37" s="122" t="str">
        <f>IF(ISBLANK(HLOOKUP($F$25,spelerslijsten!$B$1:$J$22,17,FALSE)),"",HLOOKUP($F$25,spelerslijsten!$B$1:$J$22,17,FALSE))</f>
        <v>Bianca Verbeek</v>
      </c>
      <c r="F37" s="12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08">
        <f t="shared" si="23"/>
        <v>0</v>
      </c>
      <c r="W37" s="109" t="str">
        <f t="shared" si="24"/>
        <v/>
      </c>
      <c r="X37" s="110" t="str">
        <f t="shared" si="25"/>
        <v/>
      </c>
      <c r="Y37" s="103" t="str">
        <f t="shared" si="26"/>
        <v/>
      </c>
      <c r="Z37" s="111"/>
      <c r="AA37" s="112"/>
      <c r="AB37" s="113" t="str">
        <f t="shared" si="16"/>
        <v>-</v>
      </c>
      <c r="AC37" s="112"/>
      <c r="AD37" s="114"/>
      <c r="AE37" s="115"/>
      <c r="AF37" s="115"/>
      <c r="AG37" s="116"/>
      <c r="AH37" s="117"/>
      <c r="AI37" s="117"/>
      <c r="AJ37" s="342"/>
      <c r="AK37" s="343"/>
      <c r="AL37" s="346"/>
      <c r="AM37" s="347"/>
      <c r="AN37" s="118"/>
      <c r="AO37" s="101" t="str">
        <f t="shared" si="19"/>
        <v/>
      </c>
      <c r="AP37" s="113" t="str">
        <f t="shared" si="20"/>
        <v>-</v>
      </c>
      <c r="AQ37" s="119"/>
      <c r="AR37" s="103" t="str">
        <f t="shared" si="21"/>
        <v/>
      </c>
      <c r="AT37" s="38" t="str">
        <f t="shared" si="27"/>
        <v>B10</v>
      </c>
      <c r="AU37" s="38">
        <f t="shared" si="18"/>
        <v>0</v>
      </c>
      <c r="AY37" s="38" t="str">
        <f t="shared" si="1"/>
        <v/>
      </c>
      <c r="AZ37" s="38" t="str">
        <f t="shared" si="2"/>
        <v>0</v>
      </c>
      <c r="BA37" s="38" t="str">
        <f t="shared" si="3"/>
        <v>0</v>
      </c>
      <c r="BB37" s="38" t="str">
        <f t="shared" si="4"/>
        <v>0</v>
      </c>
      <c r="BC37" s="38">
        <f t="shared" si="5"/>
        <v>0</v>
      </c>
      <c r="BD37" s="38">
        <f t="shared" si="6"/>
        <v>0</v>
      </c>
      <c r="BL37" s="38" t="str">
        <f t="shared" si="7"/>
        <v/>
      </c>
      <c r="BM37" s="38" t="str">
        <f t="shared" si="8"/>
        <v/>
      </c>
      <c r="BN37" s="38" t="str">
        <f t="shared" si="9"/>
        <v/>
      </c>
      <c r="BO37" s="38" t="str">
        <f t="shared" si="10"/>
        <v/>
      </c>
      <c r="BP37" s="38" t="str">
        <f t="shared" si="11"/>
        <v/>
      </c>
      <c r="BQ37" s="38" t="str">
        <f t="shared" si="12"/>
        <v/>
      </c>
    </row>
    <row r="38" spans="1:69" ht="15.6" x14ac:dyDescent="0.3">
      <c r="A38" s="124"/>
      <c r="B38" s="397" t="str">
        <f>IF(ISBLANK(HLOOKUP($F$25,spelerslijsten!$B$1:$J$22,20,FALSE)),"",HLOOKUP($F$25,spelerslijsten!$B$1:$J$22,20,FALSE))</f>
        <v/>
      </c>
      <c r="C38" s="398"/>
      <c r="D38" s="121"/>
      <c r="E38" s="122" t="str">
        <f>IF(ISBLANK(HLOOKUP($F$25,spelerslijsten!$B$1:$J$22,19,FALSE)),"",HLOOKUP($F$25,spelerslijsten!$B$1:$J$22,19,FALSE))</f>
        <v/>
      </c>
      <c r="F38" s="12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08">
        <f t="shared" si="23"/>
        <v>0</v>
      </c>
      <c r="W38" s="109" t="str">
        <f t="shared" si="24"/>
        <v/>
      </c>
      <c r="X38" s="110" t="str">
        <f t="shared" si="25"/>
        <v/>
      </c>
      <c r="Y38" s="103" t="str">
        <f t="shared" si="26"/>
        <v/>
      </c>
      <c r="Z38" s="111"/>
      <c r="AA38" s="112"/>
      <c r="AB38" s="113" t="str">
        <f t="shared" si="16"/>
        <v>-</v>
      </c>
      <c r="AC38" s="112"/>
      <c r="AD38" s="114"/>
      <c r="AE38" s="115"/>
      <c r="AF38" s="115"/>
      <c r="AG38" s="116"/>
      <c r="AH38" s="117"/>
      <c r="AI38" s="117"/>
      <c r="AJ38" s="342"/>
      <c r="AK38" s="343"/>
      <c r="AL38" s="346"/>
      <c r="AM38" s="347"/>
      <c r="AN38" s="118"/>
      <c r="AO38" s="101" t="str">
        <f t="shared" si="19"/>
        <v/>
      </c>
      <c r="AP38" s="113" t="str">
        <f t="shared" si="20"/>
        <v>-</v>
      </c>
      <c r="AQ38" s="119"/>
      <c r="AR38" s="103" t="str">
        <f t="shared" si="21"/>
        <v/>
      </c>
      <c r="AT38" s="38" t="str">
        <f t="shared" si="27"/>
        <v>B</v>
      </c>
      <c r="AU38" s="38">
        <f t="shared" si="18"/>
        <v>0</v>
      </c>
      <c r="AY38" s="38" t="str">
        <f t="shared" si="1"/>
        <v/>
      </c>
      <c r="AZ38" s="38" t="str">
        <f t="shared" si="2"/>
        <v>0</v>
      </c>
      <c r="BA38" s="38" t="str">
        <f t="shared" si="3"/>
        <v>0</v>
      </c>
      <c r="BB38" s="38" t="str">
        <f t="shared" si="4"/>
        <v>0</v>
      </c>
      <c r="BC38" s="38">
        <f t="shared" si="5"/>
        <v>0</v>
      </c>
      <c r="BD38" s="38">
        <f t="shared" si="6"/>
        <v>0</v>
      </c>
      <c r="BL38" s="38" t="str">
        <f t="shared" si="7"/>
        <v/>
      </c>
      <c r="BM38" s="38" t="str">
        <f t="shared" si="8"/>
        <v/>
      </c>
      <c r="BN38" s="38" t="str">
        <f t="shared" si="9"/>
        <v/>
      </c>
      <c r="BO38" s="38" t="str">
        <f t="shared" si="10"/>
        <v/>
      </c>
      <c r="BP38" s="38" t="str">
        <f t="shared" si="11"/>
        <v/>
      </c>
      <c r="BQ38" s="38" t="str">
        <f t="shared" si="12"/>
        <v/>
      </c>
    </row>
    <row r="39" spans="1:69" ht="15.6" x14ac:dyDescent="0.3">
      <c r="A39" s="125"/>
      <c r="B39" s="397" t="str">
        <f>IF(ISBLANK(HLOOKUP($F$25,spelerslijsten!$B$1:$J$22,22,FALSE)),"",HLOOKUP($F$25,spelerslijsten!$B$1:$J$22,22,FALSE))</f>
        <v/>
      </c>
      <c r="C39" s="398"/>
      <c r="D39" s="126"/>
      <c r="E39" s="259" t="str">
        <f>IF(ISBLANK(HLOOKUP($F$25,spelerslijsten!$B$1:$J$22,21,FALSE)),"",HLOOKUP($F$25,spelerslijsten!$B$1:$J$22,21,FALSE))</f>
        <v/>
      </c>
      <c r="F39" s="126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08">
        <f t="shared" si="23"/>
        <v>0</v>
      </c>
      <c r="W39" s="109" t="str">
        <f t="shared" si="24"/>
        <v/>
      </c>
      <c r="X39" s="110" t="str">
        <f t="shared" si="25"/>
        <v/>
      </c>
      <c r="Y39" s="103" t="str">
        <f t="shared" si="26"/>
        <v/>
      </c>
      <c r="Z39" s="111"/>
      <c r="AA39" s="112"/>
      <c r="AB39" s="113" t="str">
        <f t="shared" si="16"/>
        <v>-</v>
      </c>
      <c r="AC39" s="112"/>
      <c r="AD39" s="114"/>
      <c r="AE39" s="115"/>
      <c r="AF39" s="115"/>
      <c r="AG39" s="116"/>
      <c r="AH39" s="117"/>
      <c r="AI39" s="117"/>
      <c r="AJ39" s="342"/>
      <c r="AK39" s="343"/>
      <c r="AL39" s="346"/>
      <c r="AM39" s="347"/>
      <c r="AN39" s="118"/>
      <c r="AO39" s="101" t="str">
        <f t="shared" si="19"/>
        <v/>
      </c>
      <c r="AP39" s="113" t="str">
        <f t="shared" si="20"/>
        <v>-</v>
      </c>
      <c r="AQ39" s="119"/>
      <c r="AR39" s="103" t="str">
        <f t="shared" si="21"/>
        <v/>
      </c>
      <c r="AT39" s="38" t="str">
        <f t="shared" si="27"/>
        <v>B</v>
      </c>
      <c r="AU39" s="38">
        <f t="shared" si="18"/>
        <v>0</v>
      </c>
      <c r="AY39" s="38" t="str">
        <f t="shared" si="1"/>
        <v/>
      </c>
      <c r="AZ39" s="38" t="str">
        <f t="shared" si="2"/>
        <v>0</v>
      </c>
      <c r="BA39" s="38" t="str">
        <f t="shared" si="3"/>
        <v>0</v>
      </c>
      <c r="BB39" s="38" t="str">
        <f t="shared" si="4"/>
        <v>0</v>
      </c>
      <c r="BC39" s="38">
        <f t="shared" si="5"/>
        <v>0</v>
      </c>
      <c r="BD39" s="38">
        <f t="shared" si="6"/>
        <v>0</v>
      </c>
      <c r="BL39" s="38" t="str">
        <f t="shared" si="7"/>
        <v/>
      </c>
      <c r="BM39" s="38" t="str">
        <f t="shared" si="8"/>
        <v/>
      </c>
      <c r="BN39" s="38" t="str">
        <f t="shared" si="9"/>
        <v/>
      </c>
      <c r="BO39" s="38" t="str">
        <f t="shared" si="10"/>
        <v/>
      </c>
      <c r="BP39" s="38" t="str">
        <f t="shared" si="11"/>
        <v/>
      </c>
      <c r="BQ39" s="38" t="str">
        <f t="shared" si="12"/>
        <v/>
      </c>
    </row>
    <row r="40" spans="1:69" ht="16.2" thickBot="1" x14ac:dyDescent="0.35">
      <c r="A40" s="71" t="s">
        <v>67</v>
      </c>
      <c r="B40" s="72"/>
      <c r="C40" s="72"/>
      <c r="D40" s="72"/>
      <c r="E40" s="72"/>
      <c r="F40" s="72"/>
      <c r="G40" s="72"/>
      <c r="H40" s="72"/>
      <c r="I40" s="399">
        <f>HLOOKUP(F25,spelerslijsten!B1:J25,25,FALSE)</f>
        <v>0</v>
      </c>
      <c r="J40" s="400"/>
      <c r="K40" s="74" t="s">
        <v>23</v>
      </c>
      <c r="L40" s="72"/>
      <c r="M40" s="72"/>
      <c r="N40" s="129" t="str">
        <f>HLOOKUP(F25,spelerslijsten!B1:J25,23,FALSE)</f>
        <v>Natascha Magrie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30"/>
      <c r="Z40" s="111"/>
      <c r="AA40" s="112"/>
      <c r="AB40" s="113" t="str">
        <f t="shared" si="16"/>
        <v>-</v>
      </c>
      <c r="AC40" s="112"/>
      <c r="AD40" s="114"/>
      <c r="AE40" s="115"/>
      <c r="AF40" s="115"/>
      <c r="AG40" s="116"/>
      <c r="AH40" s="117"/>
      <c r="AI40" s="117"/>
      <c r="AJ40" s="342"/>
      <c r="AK40" s="343"/>
      <c r="AL40" s="346"/>
      <c r="AM40" s="347"/>
      <c r="AN40" s="118"/>
      <c r="AO40" s="101" t="str">
        <f t="shared" si="19"/>
        <v/>
      </c>
      <c r="AP40" s="113" t="str">
        <f t="shared" si="20"/>
        <v>-</v>
      </c>
      <c r="AQ40" s="119"/>
      <c r="AR40" s="103" t="str">
        <f t="shared" si="21"/>
        <v/>
      </c>
      <c r="AY40" s="38" t="str">
        <f t="shared" si="1"/>
        <v/>
      </c>
      <c r="AZ40" s="38" t="str">
        <f t="shared" si="2"/>
        <v>0</v>
      </c>
      <c r="BA40" s="38" t="str">
        <f t="shared" si="3"/>
        <v>0</v>
      </c>
      <c r="BB40" s="38" t="str">
        <f t="shared" si="4"/>
        <v>0</v>
      </c>
      <c r="BC40" s="38">
        <f t="shared" si="5"/>
        <v>0</v>
      </c>
      <c r="BD40" s="38">
        <f t="shared" si="6"/>
        <v>0</v>
      </c>
      <c r="BL40" s="38" t="str">
        <f t="shared" si="7"/>
        <v/>
      </c>
      <c r="BM40" s="38" t="str">
        <f t="shared" si="8"/>
        <v/>
      </c>
      <c r="BN40" s="38" t="str">
        <f t="shared" si="9"/>
        <v/>
      </c>
      <c r="BO40" s="38" t="str">
        <f t="shared" si="10"/>
        <v/>
      </c>
      <c r="BP40" s="38" t="str">
        <f t="shared" si="11"/>
        <v/>
      </c>
      <c r="BQ40" s="38" t="str">
        <f t="shared" si="12"/>
        <v/>
      </c>
    </row>
    <row r="41" spans="1:69" ht="15.6" x14ac:dyDescent="0.3">
      <c r="A41" s="157" t="s">
        <v>68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158"/>
      <c r="Z41" s="111"/>
      <c r="AA41" s="112"/>
      <c r="AB41" s="113" t="str">
        <f t="shared" si="16"/>
        <v>-</v>
      </c>
      <c r="AC41" s="112"/>
      <c r="AD41" s="114"/>
      <c r="AE41" s="115"/>
      <c r="AF41" s="115"/>
      <c r="AG41" s="116"/>
      <c r="AH41" s="117"/>
      <c r="AI41" s="117"/>
      <c r="AJ41" s="342"/>
      <c r="AK41" s="343"/>
      <c r="AL41" s="346"/>
      <c r="AM41" s="347"/>
      <c r="AN41" s="118"/>
      <c r="AO41" s="101" t="str">
        <f t="shared" si="19"/>
        <v/>
      </c>
      <c r="AP41" s="113" t="str">
        <f t="shared" si="20"/>
        <v>-</v>
      </c>
      <c r="AQ41" s="119"/>
      <c r="AR41" s="103" t="str">
        <f t="shared" si="21"/>
        <v/>
      </c>
      <c r="AY41" s="38" t="str">
        <f t="shared" si="1"/>
        <v/>
      </c>
      <c r="AZ41" s="38" t="str">
        <f t="shared" si="2"/>
        <v>0</v>
      </c>
      <c r="BA41" s="38" t="str">
        <f t="shared" si="3"/>
        <v>0</v>
      </c>
      <c r="BB41" s="38" t="str">
        <f t="shared" si="4"/>
        <v>0</v>
      </c>
      <c r="BC41" s="38">
        <f t="shared" si="5"/>
        <v>0</v>
      </c>
      <c r="BD41" s="38">
        <f t="shared" si="6"/>
        <v>0</v>
      </c>
      <c r="BL41" s="38" t="str">
        <f t="shared" si="7"/>
        <v/>
      </c>
      <c r="BM41" s="38" t="str">
        <f t="shared" si="8"/>
        <v/>
      </c>
      <c r="BN41" s="38" t="str">
        <f t="shared" si="9"/>
        <v/>
      </c>
      <c r="BO41" s="38" t="str">
        <f t="shared" si="10"/>
        <v/>
      </c>
      <c r="BP41" s="38" t="str">
        <f t="shared" si="11"/>
        <v/>
      </c>
      <c r="BQ41" s="38" t="str">
        <f t="shared" si="12"/>
        <v/>
      </c>
    </row>
    <row r="42" spans="1:69" ht="15.6" x14ac:dyDescent="0.3">
      <c r="A42" s="15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60"/>
      <c r="Z42" s="111"/>
      <c r="AA42" s="112"/>
      <c r="AB42" s="113" t="str">
        <f t="shared" si="16"/>
        <v>-</v>
      </c>
      <c r="AC42" s="112"/>
      <c r="AD42" s="114"/>
      <c r="AE42" s="115"/>
      <c r="AF42" s="115"/>
      <c r="AG42" s="116"/>
      <c r="AH42" s="117"/>
      <c r="AI42" s="117"/>
      <c r="AJ42" s="342"/>
      <c r="AK42" s="343"/>
      <c r="AL42" s="346"/>
      <c r="AM42" s="347"/>
      <c r="AN42" s="118"/>
      <c r="AO42" s="101" t="str">
        <f t="shared" si="19"/>
        <v/>
      </c>
      <c r="AP42" s="113" t="str">
        <f t="shared" si="20"/>
        <v>-</v>
      </c>
      <c r="AQ42" s="119"/>
      <c r="AR42" s="103" t="str">
        <f t="shared" si="21"/>
        <v/>
      </c>
      <c r="AY42" s="38" t="str">
        <f t="shared" si="1"/>
        <v/>
      </c>
      <c r="AZ42" s="38" t="str">
        <f t="shared" si="2"/>
        <v>0</v>
      </c>
      <c r="BA42" s="38" t="str">
        <f t="shared" si="3"/>
        <v>0</v>
      </c>
      <c r="BB42" s="38" t="str">
        <f t="shared" si="4"/>
        <v>0</v>
      </c>
      <c r="BC42" s="38">
        <f t="shared" si="5"/>
        <v>0</v>
      </c>
      <c r="BD42" s="38">
        <f t="shared" si="6"/>
        <v>0</v>
      </c>
      <c r="BL42" s="38" t="str">
        <f t="shared" si="7"/>
        <v/>
      </c>
      <c r="BM42" s="38" t="str">
        <f t="shared" si="8"/>
        <v/>
      </c>
      <c r="BN42" s="38" t="str">
        <f t="shared" si="9"/>
        <v/>
      </c>
      <c r="BO42" s="38" t="str">
        <f t="shared" si="10"/>
        <v/>
      </c>
      <c r="BP42" s="38" t="str">
        <f t="shared" si="11"/>
        <v/>
      </c>
      <c r="BQ42" s="38" t="str">
        <f t="shared" si="12"/>
        <v/>
      </c>
    </row>
    <row r="43" spans="1:69" ht="15.6" x14ac:dyDescent="0.3">
      <c r="A43" s="16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62"/>
      <c r="Z43" s="111"/>
      <c r="AA43" s="112"/>
      <c r="AB43" s="113" t="str">
        <f t="shared" si="16"/>
        <v>-</v>
      </c>
      <c r="AC43" s="112"/>
      <c r="AD43" s="114"/>
      <c r="AE43" s="115"/>
      <c r="AF43" s="115"/>
      <c r="AG43" s="116"/>
      <c r="AH43" s="117"/>
      <c r="AI43" s="117"/>
      <c r="AJ43" s="342"/>
      <c r="AK43" s="343"/>
      <c r="AL43" s="346"/>
      <c r="AM43" s="347"/>
      <c r="AN43" s="118"/>
      <c r="AO43" s="101" t="str">
        <f t="shared" si="19"/>
        <v/>
      </c>
      <c r="AP43" s="113" t="str">
        <f t="shared" si="20"/>
        <v>-</v>
      </c>
      <c r="AQ43" s="119"/>
      <c r="AR43" s="103" t="str">
        <f t="shared" si="21"/>
        <v/>
      </c>
      <c r="AY43" s="38" t="str">
        <f t="shared" si="1"/>
        <v/>
      </c>
      <c r="AZ43" s="38" t="str">
        <f t="shared" si="2"/>
        <v>0</v>
      </c>
      <c r="BA43" s="38" t="str">
        <f t="shared" si="3"/>
        <v>0</v>
      </c>
      <c r="BB43" s="38" t="str">
        <f t="shared" si="4"/>
        <v>0</v>
      </c>
      <c r="BC43" s="38">
        <f t="shared" si="5"/>
        <v>0</v>
      </c>
      <c r="BD43" s="38">
        <f t="shared" si="6"/>
        <v>0</v>
      </c>
      <c r="BL43" s="38" t="str">
        <f t="shared" si="7"/>
        <v/>
      </c>
      <c r="BM43" s="38" t="str">
        <f t="shared" si="8"/>
        <v/>
      </c>
      <c r="BN43" s="38" t="str">
        <f t="shared" si="9"/>
        <v/>
      </c>
      <c r="BO43" s="38" t="str">
        <f t="shared" si="10"/>
        <v/>
      </c>
      <c r="BP43" s="38" t="str">
        <f t="shared" si="11"/>
        <v/>
      </c>
      <c r="BQ43" s="38" t="str">
        <f t="shared" si="12"/>
        <v/>
      </c>
    </row>
    <row r="44" spans="1:69" ht="15.6" x14ac:dyDescent="0.3">
      <c r="A44" s="16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62"/>
      <c r="Z44" s="111"/>
      <c r="AA44" s="112"/>
      <c r="AB44" s="113" t="str">
        <f t="shared" si="16"/>
        <v>-</v>
      </c>
      <c r="AC44" s="112"/>
      <c r="AD44" s="114"/>
      <c r="AE44" s="115"/>
      <c r="AF44" s="115"/>
      <c r="AG44" s="116"/>
      <c r="AH44" s="117"/>
      <c r="AI44" s="117"/>
      <c r="AJ44" s="342"/>
      <c r="AK44" s="343"/>
      <c r="AL44" s="346"/>
      <c r="AM44" s="347"/>
      <c r="AN44" s="118"/>
      <c r="AO44" s="101" t="str">
        <f t="shared" si="19"/>
        <v/>
      </c>
      <c r="AP44" s="113" t="str">
        <f t="shared" si="20"/>
        <v>-</v>
      </c>
      <c r="AQ44" s="119"/>
      <c r="AR44" s="103" t="str">
        <f t="shared" si="21"/>
        <v/>
      </c>
      <c r="AY44" s="38" t="str">
        <f t="shared" si="1"/>
        <v/>
      </c>
      <c r="AZ44" s="38" t="str">
        <f t="shared" si="2"/>
        <v>0</v>
      </c>
      <c r="BA44" s="38" t="str">
        <f t="shared" si="3"/>
        <v>0</v>
      </c>
      <c r="BB44" s="38" t="str">
        <f t="shared" si="4"/>
        <v>0</v>
      </c>
      <c r="BC44" s="38">
        <f t="shared" si="5"/>
        <v>0</v>
      </c>
      <c r="BD44" s="38">
        <f t="shared" si="6"/>
        <v>0</v>
      </c>
      <c r="BL44" s="38" t="str">
        <f t="shared" si="7"/>
        <v/>
      </c>
      <c r="BM44" s="38" t="str">
        <f t="shared" si="8"/>
        <v/>
      </c>
      <c r="BN44" s="38" t="str">
        <f t="shared" si="9"/>
        <v/>
      </c>
      <c r="BO44" s="38" t="str">
        <f t="shared" si="10"/>
        <v/>
      </c>
      <c r="BP44" s="38" t="str">
        <f t="shared" si="11"/>
        <v/>
      </c>
      <c r="BQ44" s="38" t="str">
        <f t="shared" si="12"/>
        <v/>
      </c>
    </row>
    <row r="45" spans="1:69" ht="15.6" x14ac:dyDescent="0.3">
      <c r="A45" s="16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62"/>
      <c r="Z45" s="111"/>
      <c r="AA45" s="112"/>
      <c r="AB45" s="113" t="str">
        <f>+AB44</f>
        <v>-</v>
      </c>
      <c r="AC45" s="112"/>
      <c r="AD45" s="114"/>
      <c r="AE45" s="115"/>
      <c r="AF45" s="115"/>
      <c r="AG45" s="116"/>
      <c r="AH45" s="117"/>
      <c r="AI45" s="117"/>
      <c r="AJ45" s="342"/>
      <c r="AK45" s="343"/>
      <c r="AL45" s="346"/>
      <c r="AM45" s="347"/>
      <c r="AN45" s="118"/>
      <c r="AO45" s="101" t="str">
        <f t="shared" si="19"/>
        <v/>
      </c>
      <c r="AP45" s="113" t="str">
        <f t="shared" si="20"/>
        <v>-</v>
      </c>
      <c r="AQ45" s="119"/>
      <c r="AR45" s="103" t="str">
        <f t="shared" si="21"/>
        <v/>
      </c>
      <c r="AY45" s="38" t="str">
        <f t="shared" si="1"/>
        <v/>
      </c>
      <c r="AZ45" s="38" t="str">
        <f t="shared" si="2"/>
        <v>0</v>
      </c>
      <c r="BA45" s="38" t="str">
        <f t="shared" si="3"/>
        <v>0</v>
      </c>
      <c r="BB45" s="38" t="str">
        <f t="shared" si="4"/>
        <v>0</v>
      </c>
      <c r="BC45" s="38">
        <f t="shared" si="5"/>
        <v>0</v>
      </c>
      <c r="BD45" s="38">
        <f t="shared" si="6"/>
        <v>0</v>
      </c>
      <c r="BL45" s="38" t="str">
        <f t="shared" si="7"/>
        <v/>
      </c>
      <c r="BM45" s="38" t="str">
        <f t="shared" si="8"/>
        <v/>
      </c>
      <c r="BN45" s="38" t="str">
        <f t="shared" si="9"/>
        <v/>
      </c>
      <c r="BO45" s="38" t="str">
        <f t="shared" si="10"/>
        <v/>
      </c>
      <c r="BP45" s="38" t="str">
        <f t="shared" si="11"/>
        <v/>
      </c>
      <c r="BQ45" s="38" t="str">
        <f t="shared" si="12"/>
        <v/>
      </c>
    </row>
    <row r="46" spans="1:69" ht="16.2" thickBot="1" x14ac:dyDescent="0.35">
      <c r="A46" s="163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64"/>
      <c r="Z46" s="165"/>
      <c r="AA46" s="166"/>
      <c r="AB46" s="167" t="str">
        <f>+AB45</f>
        <v>-</v>
      </c>
      <c r="AC46" s="166"/>
      <c r="AD46" s="168"/>
      <c r="AE46" s="169"/>
      <c r="AF46" s="169"/>
      <c r="AG46" s="170"/>
      <c r="AH46" s="171"/>
      <c r="AI46" s="171"/>
      <c r="AJ46" s="344"/>
      <c r="AK46" s="345"/>
      <c r="AL46" s="352"/>
      <c r="AM46" s="353"/>
      <c r="AN46" s="172"/>
      <c r="AO46" s="101" t="str">
        <f t="shared" si="19"/>
        <v/>
      </c>
      <c r="AP46" s="113" t="str">
        <f t="shared" si="20"/>
        <v>-</v>
      </c>
      <c r="AQ46" s="119"/>
      <c r="AR46" s="103" t="str">
        <f t="shared" si="21"/>
        <v/>
      </c>
      <c r="AY46" s="38" t="str">
        <f t="shared" si="1"/>
        <v/>
      </c>
      <c r="AZ46" s="38" t="str">
        <f t="shared" si="2"/>
        <v>0</v>
      </c>
      <c r="BA46" s="38" t="str">
        <f t="shared" si="3"/>
        <v>0</v>
      </c>
      <c r="BB46" s="38" t="str">
        <f t="shared" si="4"/>
        <v>0</v>
      </c>
      <c r="BC46" s="38">
        <f t="shared" si="5"/>
        <v>0</v>
      </c>
      <c r="BD46" s="38">
        <f t="shared" si="6"/>
        <v>0</v>
      </c>
      <c r="BL46" s="38" t="str">
        <f t="shared" si="7"/>
        <v/>
      </c>
      <c r="BM46" s="38" t="str">
        <f t="shared" si="8"/>
        <v/>
      </c>
      <c r="BN46" s="38" t="str">
        <f t="shared" si="9"/>
        <v/>
      </c>
      <c r="BO46" s="38" t="str">
        <f t="shared" si="10"/>
        <v/>
      </c>
      <c r="BP46" s="38" t="str">
        <f t="shared" si="11"/>
        <v/>
      </c>
      <c r="BQ46" s="38" t="str">
        <f t="shared" si="12"/>
        <v/>
      </c>
    </row>
    <row r="47" spans="1:69" ht="18.600000000000001" thickBot="1" x14ac:dyDescent="0.35">
      <c r="A47" s="173" t="s">
        <v>69</v>
      </c>
      <c r="B47" s="174"/>
      <c r="C47" s="174"/>
      <c r="D47" s="174"/>
      <c r="E47" s="174"/>
      <c r="F47" s="174"/>
      <c r="G47" s="174">
        <f>IF(AO52&gt;AR52,AO52,IF(AO52=AR52,AO52,AR52))</f>
        <v>5</v>
      </c>
      <c r="H47" s="175" t="s">
        <v>16</v>
      </c>
      <c r="I47" s="174">
        <f>IF(AO52&gt;AR52,AR52,IF(AO52=AR52,AR52,AO52))</f>
        <v>4</v>
      </c>
      <c r="J47" s="174"/>
      <c r="K47" s="174" t="s">
        <v>70</v>
      </c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6" t="str">
        <f>BE52</f>
        <v>WIT</v>
      </c>
      <c r="W47" s="174"/>
      <c r="X47" s="174"/>
      <c r="Y47" s="174"/>
      <c r="Z47" s="174"/>
      <c r="AA47" s="174"/>
      <c r="AB47" s="174"/>
      <c r="AC47" s="174"/>
      <c r="AD47" s="177"/>
      <c r="AE47" s="178" t="s">
        <v>71</v>
      </c>
      <c r="AF47" s="179"/>
      <c r="AG47" s="179"/>
      <c r="AH47" s="179"/>
      <c r="AI47" s="179"/>
      <c r="AJ47" s="174"/>
      <c r="AK47" s="174"/>
      <c r="AL47" s="403" t="s">
        <v>177</v>
      </c>
      <c r="AM47" s="404"/>
      <c r="AN47" s="404"/>
      <c r="AO47" s="404"/>
      <c r="AP47" s="404"/>
      <c r="AQ47" s="404"/>
      <c r="AR47" s="405"/>
    </row>
    <row r="48" spans="1:69" x14ac:dyDescent="0.3">
      <c r="A48" s="180" t="s">
        <v>72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2"/>
      <c r="P48" s="183" t="s">
        <v>72</v>
      </c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2"/>
      <c r="AC48" s="181"/>
      <c r="AD48" s="184"/>
      <c r="AE48" s="185" t="s">
        <v>72</v>
      </c>
      <c r="AF48" s="186"/>
      <c r="AG48" s="186"/>
      <c r="AH48" s="186"/>
      <c r="AI48" s="186"/>
      <c r="AJ48" s="181"/>
      <c r="AK48" s="181"/>
      <c r="AL48" s="181"/>
      <c r="AM48" s="181"/>
      <c r="AN48" s="181"/>
      <c r="AO48" s="186"/>
      <c r="AP48" s="181"/>
      <c r="AQ48" s="181"/>
      <c r="AR48" s="187"/>
    </row>
    <row r="49" spans="1:57" x14ac:dyDescent="0.3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/>
      <c r="P49" s="191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90"/>
      <c r="AC49" s="189"/>
      <c r="AD49" s="192"/>
      <c r="AE49" s="193"/>
      <c r="AF49" s="193"/>
      <c r="AG49" s="193"/>
      <c r="AH49" s="193"/>
      <c r="AI49" s="193"/>
      <c r="AJ49" s="189"/>
      <c r="AK49" s="189"/>
      <c r="AL49" s="189"/>
      <c r="AM49" s="189"/>
      <c r="AN49" s="189"/>
      <c r="AO49" s="193"/>
      <c r="AP49" s="189"/>
      <c r="AQ49" s="189"/>
      <c r="AR49" s="194"/>
    </row>
    <row r="50" spans="1:57" ht="14.4" thickBot="1" x14ac:dyDescent="0.3">
      <c r="A50" s="195" t="s">
        <v>73</v>
      </c>
      <c r="B50" s="196"/>
      <c r="C50" s="196"/>
      <c r="D50" s="196"/>
      <c r="E50" s="196"/>
      <c r="F50" s="196"/>
      <c r="G50" s="196"/>
      <c r="H50" s="197" t="s">
        <v>74</v>
      </c>
      <c r="I50" s="196"/>
      <c r="J50" s="196"/>
      <c r="K50" s="196"/>
      <c r="L50" s="196"/>
      <c r="M50" s="196"/>
      <c r="N50" s="196"/>
      <c r="O50" s="198"/>
      <c r="P50" s="199" t="s">
        <v>73</v>
      </c>
      <c r="Q50" s="196"/>
      <c r="R50" s="196"/>
      <c r="S50" s="196"/>
      <c r="T50" s="196"/>
      <c r="U50" s="196"/>
      <c r="V50" s="196"/>
      <c r="W50" s="197" t="s">
        <v>75</v>
      </c>
      <c r="X50" s="196"/>
      <c r="Y50" s="196"/>
      <c r="Z50" s="196"/>
      <c r="AA50" s="196"/>
      <c r="AB50" s="198"/>
      <c r="AC50" s="196"/>
      <c r="AD50" s="200"/>
      <c r="AE50" s="201" t="s">
        <v>25</v>
      </c>
      <c r="AF50" s="202"/>
      <c r="AG50" s="202"/>
      <c r="AH50" s="202"/>
      <c r="AI50" s="202"/>
      <c r="AJ50" s="203"/>
      <c r="AK50" s="203"/>
      <c r="AL50" s="203"/>
      <c r="AM50" s="203"/>
      <c r="AN50" s="203"/>
      <c r="AO50" s="202"/>
      <c r="AP50" s="203"/>
      <c r="AQ50" s="203"/>
      <c r="AR50" s="204"/>
    </row>
    <row r="52" spans="1:57" hidden="1" x14ac:dyDescent="0.3">
      <c r="AO52" s="40">
        <f>IF(AO13="","",MAX(AO13:AO46))</f>
        <v>5</v>
      </c>
      <c r="AR52" s="40">
        <f>IF(AR13="","",MAX(AR13:AR46))</f>
        <v>4</v>
      </c>
      <c r="AS52" s="38" t="str">
        <f>IF(AO13="","0","1")</f>
        <v>1</v>
      </c>
      <c r="BE52" s="38" t="str">
        <f>IF(AS52="0","WIT/BLAUW",IF(AO52&gt;AR52,"WIT",IF(AO52=AR52,"GELIJK","BLAUW")))</f>
        <v>WIT</v>
      </c>
    </row>
  </sheetData>
  <sheetProtection sheet="1" objects="1" scenarios="1"/>
  <mergeCells count="107">
    <mergeCell ref="AJ46:AK46"/>
    <mergeCell ref="AL46:AM46"/>
    <mergeCell ref="AL47:AR47"/>
    <mergeCell ref="AJ43:AK43"/>
    <mergeCell ref="AL43:AM43"/>
    <mergeCell ref="AJ44:AK44"/>
    <mergeCell ref="AL44:AM44"/>
    <mergeCell ref="AJ45:AK45"/>
    <mergeCell ref="AL45:AM45"/>
    <mergeCell ref="I40:J40"/>
    <mergeCell ref="AJ40:AK40"/>
    <mergeCell ref="AL40:AM40"/>
    <mergeCell ref="AJ41:AK41"/>
    <mergeCell ref="AL41:AM41"/>
    <mergeCell ref="AJ42:AK42"/>
    <mergeCell ref="AL42:AM42"/>
    <mergeCell ref="B38:C38"/>
    <mergeCell ref="AJ38:AK38"/>
    <mergeCell ref="AL38:AM38"/>
    <mergeCell ref="B39:C39"/>
    <mergeCell ref="AJ39:AK39"/>
    <mergeCell ref="AL39:AM39"/>
    <mergeCell ref="B36:C36"/>
    <mergeCell ref="AJ36:AK36"/>
    <mergeCell ref="AL36:AM36"/>
    <mergeCell ref="B37:C37"/>
    <mergeCell ref="AJ37:AK37"/>
    <mergeCell ref="AL37:AM37"/>
    <mergeCell ref="B34:C34"/>
    <mergeCell ref="AJ34:AK34"/>
    <mergeCell ref="AL34:AM34"/>
    <mergeCell ref="B35:C35"/>
    <mergeCell ref="AJ35:AK35"/>
    <mergeCell ref="AL35:AM35"/>
    <mergeCell ref="B32:C32"/>
    <mergeCell ref="AJ32:AK32"/>
    <mergeCell ref="AL32:AM32"/>
    <mergeCell ref="B33:C33"/>
    <mergeCell ref="AJ33:AK33"/>
    <mergeCell ref="AL33:AM33"/>
    <mergeCell ref="AJ29:AK29"/>
    <mergeCell ref="AL29:AM29"/>
    <mergeCell ref="B30:C30"/>
    <mergeCell ref="AJ30:AK30"/>
    <mergeCell ref="AL30:AM30"/>
    <mergeCell ref="B31:C31"/>
    <mergeCell ref="AJ31:AK31"/>
    <mergeCell ref="AL31:AM31"/>
    <mergeCell ref="A26:D28"/>
    <mergeCell ref="AJ26:AK26"/>
    <mergeCell ref="AL26:AM26"/>
    <mergeCell ref="AJ27:AK27"/>
    <mergeCell ref="AL27:AM27"/>
    <mergeCell ref="AJ28:AK28"/>
    <mergeCell ref="AL28:AM28"/>
    <mergeCell ref="I24:J24"/>
    <mergeCell ref="AJ24:AK24"/>
    <mergeCell ref="AL24:AM24"/>
    <mergeCell ref="F25:Y28"/>
    <mergeCell ref="AJ25:AK25"/>
    <mergeCell ref="AL25:AM25"/>
    <mergeCell ref="B22:C22"/>
    <mergeCell ref="AJ22:AK22"/>
    <mergeCell ref="AL22:AM22"/>
    <mergeCell ref="B23:C23"/>
    <mergeCell ref="AJ23:AK23"/>
    <mergeCell ref="AL23:AM23"/>
    <mergeCell ref="B20:C20"/>
    <mergeCell ref="AJ20:AK20"/>
    <mergeCell ref="AL20:AM20"/>
    <mergeCell ref="B21:C21"/>
    <mergeCell ref="AJ21:AK21"/>
    <mergeCell ref="AL21:AM21"/>
    <mergeCell ref="B18:C18"/>
    <mergeCell ref="AJ18:AK18"/>
    <mergeCell ref="AL18:AM18"/>
    <mergeCell ref="B19:C19"/>
    <mergeCell ref="AJ19:AK19"/>
    <mergeCell ref="AL19:AM19"/>
    <mergeCell ref="B16:C16"/>
    <mergeCell ref="AJ16:AK16"/>
    <mergeCell ref="AL16:AM16"/>
    <mergeCell ref="B17:C17"/>
    <mergeCell ref="AJ17:AK17"/>
    <mergeCell ref="AL17:AM17"/>
    <mergeCell ref="AJ13:AK13"/>
    <mergeCell ref="AL13:AM13"/>
    <mergeCell ref="B14:C14"/>
    <mergeCell ref="AJ14:AK14"/>
    <mergeCell ref="AL14:AM14"/>
    <mergeCell ref="B15:C15"/>
    <mergeCell ref="AJ15:AK15"/>
    <mergeCell ref="AL15:AM15"/>
    <mergeCell ref="F10:Y12"/>
    <mergeCell ref="Z10:AD12"/>
    <mergeCell ref="AJ10:AK12"/>
    <mergeCell ref="AL10:AM12"/>
    <mergeCell ref="AN10:AR11"/>
    <mergeCell ref="A11:D12"/>
    <mergeCell ref="AN12:AO12"/>
    <mergeCell ref="AQ12:AR12"/>
    <mergeCell ref="D3:N3"/>
    <mergeCell ref="D4:E4"/>
    <mergeCell ref="G4:I4"/>
    <mergeCell ref="K4:M4"/>
    <mergeCell ref="BF4:BI6"/>
    <mergeCell ref="AH6:AR6"/>
  </mergeCells>
  <dataValidations count="1">
    <dataValidation type="list" allowBlank="1" showInputMessage="1" showErrorMessage="1" sqref="AL47:AR47" xr:uid="{E23B5932-3693-45E0-9582-E8037D70DDC0}">
      <formula1>"JA/NEE,JA,NEE"</formula1>
    </dataValidation>
  </dataValidations>
  <hyperlinks>
    <hyperlink ref="BF4:BI6" location="Wedstrijden!A1" display="Wedstrijdschema" xr:uid="{F15380DF-4ED8-4A98-8153-12647765EC4A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051D-70DB-410D-90D2-9E7A0C1358CC}">
  <dimension ref="A1:IV52"/>
  <sheetViews>
    <sheetView workbookViewId="0">
      <selection activeCell="BF4" sqref="BF4:BI6"/>
    </sheetView>
  </sheetViews>
  <sheetFormatPr defaultRowHeight="13.8" x14ac:dyDescent="0.3"/>
  <cols>
    <col min="1" max="6" width="2.33203125" style="38" customWidth="1"/>
    <col min="7" max="7" width="3.33203125" style="38" customWidth="1"/>
    <col min="8" max="8" width="2.33203125" style="38" customWidth="1"/>
    <col min="9" max="9" width="3.33203125" style="38" customWidth="1"/>
    <col min="10" max="25" width="2.33203125" style="38" customWidth="1"/>
    <col min="26" max="28" width="2.109375" style="38" customWidth="1"/>
    <col min="29" max="29" width="3" style="38" customWidth="1"/>
    <col min="30" max="30" width="2.109375" style="39" customWidth="1"/>
    <col min="31" max="35" width="2.33203125" style="40" customWidth="1"/>
    <col min="36" max="39" width="2.33203125" style="38" customWidth="1"/>
    <col min="40" max="40" width="2.109375" style="38" customWidth="1"/>
    <col min="41" max="41" width="3.33203125" style="40" customWidth="1"/>
    <col min="42" max="43" width="2.109375" style="38" customWidth="1"/>
    <col min="44" max="44" width="3.33203125" style="40" customWidth="1"/>
    <col min="45" max="45" width="8.88671875" style="38"/>
    <col min="46" max="56" width="9.109375" style="38" hidden="1" customWidth="1"/>
    <col min="57" max="62" width="8.88671875" style="38"/>
    <col min="63" max="69" width="0" style="38" hidden="1" customWidth="1"/>
    <col min="70" max="256" width="8.88671875" style="38"/>
    <col min="257" max="281" width="2.33203125" style="38" customWidth="1"/>
    <col min="282" max="286" width="2.109375" style="38" customWidth="1"/>
    <col min="287" max="295" width="2.33203125" style="38" customWidth="1"/>
    <col min="296" max="300" width="2.109375" style="38" customWidth="1"/>
    <col min="301" max="512" width="8.88671875" style="38"/>
    <col min="513" max="537" width="2.33203125" style="38" customWidth="1"/>
    <col min="538" max="542" width="2.109375" style="38" customWidth="1"/>
    <col min="543" max="551" width="2.33203125" style="38" customWidth="1"/>
    <col min="552" max="556" width="2.109375" style="38" customWidth="1"/>
    <col min="557" max="768" width="8.88671875" style="38"/>
    <col min="769" max="793" width="2.33203125" style="38" customWidth="1"/>
    <col min="794" max="798" width="2.109375" style="38" customWidth="1"/>
    <col min="799" max="807" width="2.33203125" style="38" customWidth="1"/>
    <col min="808" max="812" width="2.109375" style="38" customWidth="1"/>
    <col min="813" max="1024" width="8.88671875" style="38"/>
    <col min="1025" max="1049" width="2.33203125" style="38" customWidth="1"/>
    <col min="1050" max="1054" width="2.109375" style="38" customWidth="1"/>
    <col min="1055" max="1063" width="2.33203125" style="38" customWidth="1"/>
    <col min="1064" max="1068" width="2.109375" style="38" customWidth="1"/>
    <col min="1069" max="1280" width="8.88671875" style="38"/>
    <col min="1281" max="1305" width="2.33203125" style="38" customWidth="1"/>
    <col min="1306" max="1310" width="2.109375" style="38" customWidth="1"/>
    <col min="1311" max="1319" width="2.33203125" style="38" customWidth="1"/>
    <col min="1320" max="1324" width="2.109375" style="38" customWidth="1"/>
    <col min="1325" max="1536" width="8.88671875" style="38"/>
    <col min="1537" max="1561" width="2.33203125" style="38" customWidth="1"/>
    <col min="1562" max="1566" width="2.109375" style="38" customWidth="1"/>
    <col min="1567" max="1575" width="2.33203125" style="38" customWidth="1"/>
    <col min="1576" max="1580" width="2.109375" style="38" customWidth="1"/>
    <col min="1581" max="1792" width="8.88671875" style="38"/>
    <col min="1793" max="1817" width="2.33203125" style="38" customWidth="1"/>
    <col min="1818" max="1822" width="2.109375" style="38" customWidth="1"/>
    <col min="1823" max="1831" width="2.33203125" style="38" customWidth="1"/>
    <col min="1832" max="1836" width="2.109375" style="38" customWidth="1"/>
    <col min="1837" max="2048" width="8.88671875" style="38"/>
    <col min="2049" max="2073" width="2.33203125" style="38" customWidth="1"/>
    <col min="2074" max="2078" width="2.109375" style="38" customWidth="1"/>
    <col min="2079" max="2087" width="2.33203125" style="38" customWidth="1"/>
    <col min="2088" max="2092" width="2.109375" style="38" customWidth="1"/>
    <col min="2093" max="2304" width="8.88671875" style="38"/>
    <col min="2305" max="2329" width="2.33203125" style="38" customWidth="1"/>
    <col min="2330" max="2334" width="2.109375" style="38" customWidth="1"/>
    <col min="2335" max="2343" width="2.33203125" style="38" customWidth="1"/>
    <col min="2344" max="2348" width="2.109375" style="38" customWidth="1"/>
    <col min="2349" max="2560" width="8.88671875" style="38"/>
    <col min="2561" max="2585" width="2.33203125" style="38" customWidth="1"/>
    <col min="2586" max="2590" width="2.109375" style="38" customWidth="1"/>
    <col min="2591" max="2599" width="2.33203125" style="38" customWidth="1"/>
    <col min="2600" max="2604" width="2.109375" style="38" customWidth="1"/>
    <col min="2605" max="2816" width="8.88671875" style="38"/>
    <col min="2817" max="2841" width="2.33203125" style="38" customWidth="1"/>
    <col min="2842" max="2846" width="2.109375" style="38" customWidth="1"/>
    <col min="2847" max="2855" width="2.33203125" style="38" customWidth="1"/>
    <col min="2856" max="2860" width="2.109375" style="38" customWidth="1"/>
    <col min="2861" max="3072" width="8.88671875" style="38"/>
    <col min="3073" max="3097" width="2.33203125" style="38" customWidth="1"/>
    <col min="3098" max="3102" width="2.109375" style="38" customWidth="1"/>
    <col min="3103" max="3111" width="2.33203125" style="38" customWidth="1"/>
    <col min="3112" max="3116" width="2.109375" style="38" customWidth="1"/>
    <col min="3117" max="3328" width="8.88671875" style="38"/>
    <col min="3329" max="3353" width="2.33203125" style="38" customWidth="1"/>
    <col min="3354" max="3358" width="2.109375" style="38" customWidth="1"/>
    <col min="3359" max="3367" width="2.33203125" style="38" customWidth="1"/>
    <col min="3368" max="3372" width="2.109375" style="38" customWidth="1"/>
    <col min="3373" max="3584" width="8.88671875" style="38"/>
    <col min="3585" max="3609" width="2.33203125" style="38" customWidth="1"/>
    <col min="3610" max="3614" width="2.109375" style="38" customWidth="1"/>
    <col min="3615" max="3623" width="2.33203125" style="38" customWidth="1"/>
    <col min="3624" max="3628" width="2.109375" style="38" customWidth="1"/>
    <col min="3629" max="3840" width="8.88671875" style="38"/>
    <col min="3841" max="3865" width="2.33203125" style="38" customWidth="1"/>
    <col min="3866" max="3870" width="2.109375" style="38" customWidth="1"/>
    <col min="3871" max="3879" width="2.33203125" style="38" customWidth="1"/>
    <col min="3880" max="3884" width="2.109375" style="38" customWidth="1"/>
    <col min="3885" max="4096" width="8.88671875" style="38"/>
    <col min="4097" max="4121" width="2.33203125" style="38" customWidth="1"/>
    <col min="4122" max="4126" width="2.109375" style="38" customWidth="1"/>
    <col min="4127" max="4135" width="2.33203125" style="38" customWidth="1"/>
    <col min="4136" max="4140" width="2.109375" style="38" customWidth="1"/>
    <col min="4141" max="4352" width="8.88671875" style="38"/>
    <col min="4353" max="4377" width="2.33203125" style="38" customWidth="1"/>
    <col min="4378" max="4382" width="2.109375" style="38" customWidth="1"/>
    <col min="4383" max="4391" width="2.33203125" style="38" customWidth="1"/>
    <col min="4392" max="4396" width="2.109375" style="38" customWidth="1"/>
    <col min="4397" max="4608" width="8.88671875" style="38"/>
    <col min="4609" max="4633" width="2.33203125" style="38" customWidth="1"/>
    <col min="4634" max="4638" width="2.109375" style="38" customWidth="1"/>
    <col min="4639" max="4647" width="2.33203125" style="38" customWidth="1"/>
    <col min="4648" max="4652" width="2.109375" style="38" customWidth="1"/>
    <col min="4653" max="4864" width="8.88671875" style="38"/>
    <col min="4865" max="4889" width="2.33203125" style="38" customWidth="1"/>
    <col min="4890" max="4894" width="2.109375" style="38" customWidth="1"/>
    <col min="4895" max="4903" width="2.33203125" style="38" customWidth="1"/>
    <col min="4904" max="4908" width="2.109375" style="38" customWidth="1"/>
    <col min="4909" max="5120" width="8.88671875" style="38"/>
    <col min="5121" max="5145" width="2.33203125" style="38" customWidth="1"/>
    <col min="5146" max="5150" width="2.109375" style="38" customWidth="1"/>
    <col min="5151" max="5159" width="2.33203125" style="38" customWidth="1"/>
    <col min="5160" max="5164" width="2.109375" style="38" customWidth="1"/>
    <col min="5165" max="5376" width="8.88671875" style="38"/>
    <col min="5377" max="5401" width="2.33203125" style="38" customWidth="1"/>
    <col min="5402" max="5406" width="2.109375" style="38" customWidth="1"/>
    <col min="5407" max="5415" width="2.33203125" style="38" customWidth="1"/>
    <col min="5416" max="5420" width="2.109375" style="38" customWidth="1"/>
    <col min="5421" max="5632" width="8.88671875" style="38"/>
    <col min="5633" max="5657" width="2.33203125" style="38" customWidth="1"/>
    <col min="5658" max="5662" width="2.109375" style="38" customWidth="1"/>
    <col min="5663" max="5671" width="2.33203125" style="38" customWidth="1"/>
    <col min="5672" max="5676" width="2.109375" style="38" customWidth="1"/>
    <col min="5677" max="5888" width="8.88671875" style="38"/>
    <col min="5889" max="5913" width="2.33203125" style="38" customWidth="1"/>
    <col min="5914" max="5918" width="2.109375" style="38" customWidth="1"/>
    <col min="5919" max="5927" width="2.33203125" style="38" customWidth="1"/>
    <col min="5928" max="5932" width="2.109375" style="38" customWidth="1"/>
    <col min="5933" max="6144" width="8.88671875" style="38"/>
    <col min="6145" max="6169" width="2.33203125" style="38" customWidth="1"/>
    <col min="6170" max="6174" width="2.109375" style="38" customWidth="1"/>
    <col min="6175" max="6183" width="2.33203125" style="38" customWidth="1"/>
    <col min="6184" max="6188" width="2.109375" style="38" customWidth="1"/>
    <col min="6189" max="6400" width="8.88671875" style="38"/>
    <col min="6401" max="6425" width="2.33203125" style="38" customWidth="1"/>
    <col min="6426" max="6430" width="2.109375" style="38" customWidth="1"/>
    <col min="6431" max="6439" width="2.33203125" style="38" customWidth="1"/>
    <col min="6440" max="6444" width="2.109375" style="38" customWidth="1"/>
    <col min="6445" max="6656" width="8.88671875" style="38"/>
    <col min="6657" max="6681" width="2.33203125" style="38" customWidth="1"/>
    <col min="6682" max="6686" width="2.109375" style="38" customWidth="1"/>
    <col min="6687" max="6695" width="2.33203125" style="38" customWidth="1"/>
    <col min="6696" max="6700" width="2.109375" style="38" customWidth="1"/>
    <col min="6701" max="6912" width="8.88671875" style="38"/>
    <col min="6913" max="6937" width="2.33203125" style="38" customWidth="1"/>
    <col min="6938" max="6942" width="2.109375" style="38" customWidth="1"/>
    <col min="6943" max="6951" width="2.33203125" style="38" customWidth="1"/>
    <col min="6952" max="6956" width="2.109375" style="38" customWidth="1"/>
    <col min="6957" max="7168" width="8.88671875" style="38"/>
    <col min="7169" max="7193" width="2.33203125" style="38" customWidth="1"/>
    <col min="7194" max="7198" width="2.109375" style="38" customWidth="1"/>
    <col min="7199" max="7207" width="2.33203125" style="38" customWidth="1"/>
    <col min="7208" max="7212" width="2.109375" style="38" customWidth="1"/>
    <col min="7213" max="7424" width="8.88671875" style="38"/>
    <col min="7425" max="7449" width="2.33203125" style="38" customWidth="1"/>
    <col min="7450" max="7454" width="2.109375" style="38" customWidth="1"/>
    <col min="7455" max="7463" width="2.33203125" style="38" customWidth="1"/>
    <col min="7464" max="7468" width="2.109375" style="38" customWidth="1"/>
    <col min="7469" max="7680" width="8.88671875" style="38"/>
    <col min="7681" max="7705" width="2.33203125" style="38" customWidth="1"/>
    <col min="7706" max="7710" width="2.109375" style="38" customWidth="1"/>
    <col min="7711" max="7719" width="2.33203125" style="38" customWidth="1"/>
    <col min="7720" max="7724" width="2.109375" style="38" customWidth="1"/>
    <col min="7725" max="7936" width="8.88671875" style="38"/>
    <col min="7937" max="7961" width="2.33203125" style="38" customWidth="1"/>
    <col min="7962" max="7966" width="2.109375" style="38" customWidth="1"/>
    <col min="7967" max="7975" width="2.33203125" style="38" customWidth="1"/>
    <col min="7976" max="7980" width="2.109375" style="38" customWidth="1"/>
    <col min="7981" max="8192" width="8.88671875" style="38"/>
    <col min="8193" max="8217" width="2.33203125" style="38" customWidth="1"/>
    <col min="8218" max="8222" width="2.109375" style="38" customWidth="1"/>
    <col min="8223" max="8231" width="2.33203125" style="38" customWidth="1"/>
    <col min="8232" max="8236" width="2.109375" style="38" customWidth="1"/>
    <col min="8237" max="8448" width="8.88671875" style="38"/>
    <col min="8449" max="8473" width="2.33203125" style="38" customWidth="1"/>
    <col min="8474" max="8478" width="2.109375" style="38" customWidth="1"/>
    <col min="8479" max="8487" width="2.33203125" style="38" customWidth="1"/>
    <col min="8488" max="8492" width="2.109375" style="38" customWidth="1"/>
    <col min="8493" max="8704" width="8.88671875" style="38"/>
    <col min="8705" max="8729" width="2.33203125" style="38" customWidth="1"/>
    <col min="8730" max="8734" width="2.109375" style="38" customWidth="1"/>
    <col min="8735" max="8743" width="2.33203125" style="38" customWidth="1"/>
    <col min="8744" max="8748" width="2.109375" style="38" customWidth="1"/>
    <col min="8749" max="8960" width="8.88671875" style="38"/>
    <col min="8961" max="8985" width="2.33203125" style="38" customWidth="1"/>
    <col min="8986" max="8990" width="2.109375" style="38" customWidth="1"/>
    <col min="8991" max="8999" width="2.33203125" style="38" customWidth="1"/>
    <col min="9000" max="9004" width="2.109375" style="38" customWidth="1"/>
    <col min="9005" max="9216" width="8.88671875" style="38"/>
    <col min="9217" max="9241" width="2.33203125" style="38" customWidth="1"/>
    <col min="9242" max="9246" width="2.109375" style="38" customWidth="1"/>
    <col min="9247" max="9255" width="2.33203125" style="38" customWidth="1"/>
    <col min="9256" max="9260" width="2.109375" style="38" customWidth="1"/>
    <col min="9261" max="9472" width="8.88671875" style="38"/>
    <col min="9473" max="9497" width="2.33203125" style="38" customWidth="1"/>
    <col min="9498" max="9502" width="2.109375" style="38" customWidth="1"/>
    <col min="9503" max="9511" width="2.33203125" style="38" customWidth="1"/>
    <col min="9512" max="9516" width="2.109375" style="38" customWidth="1"/>
    <col min="9517" max="9728" width="8.88671875" style="38"/>
    <col min="9729" max="9753" width="2.33203125" style="38" customWidth="1"/>
    <col min="9754" max="9758" width="2.109375" style="38" customWidth="1"/>
    <col min="9759" max="9767" width="2.33203125" style="38" customWidth="1"/>
    <col min="9768" max="9772" width="2.109375" style="38" customWidth="1"/>
    <col min="9773" max="9984" width="8.88671875" style="38"/>
    <col min="9985" max="10009" width="2.33203125" style="38" customWidth="1"/>
    <col min="10010" max="10014" width="2.109375" style="38" customWidth="1"/>
    <col min="10015" max="10023" width="2.33203125" style="38" customWidth="1"/>
    <col min="10024" max="10028" width="2.109375" style="38" customWidth="1"/>
    <col min="10029" max="10240" width="8.88671875" style="38"/>
    <col min="10241" max="10265" width="2.33203125" style="38" customWidth="1"/>
    <col min="10266" max="10270" width="2.109375" style="38" customWidth="1"/>
    <col min="10271" max="10279" width="2.33203125" style="38" customWidth="1"/>
    <col min="10280" max="10284" width="2.109375" style="38" customWidth="1"/>
    <col min="10285" max="10496" width="8.88671875" style="38"/>
    <col min="10497" max="10521" width="2.33203125" style="38" customWidth="1"/>
    <col min="10522" max="10526" width="2.109375" style="38" customWidth="1"/>
    <col min="10527" max="10535" width="2.33203125" style="38" customWidth="1"/>
    <col min="10536" max="10540" width="2.109375" style="38" customWidth="1"/>
    <col min="10541" max="10752" width="8.88671875" style="38"/>
    <col min="10753" max="10777" width="2.33203125" style="38" customWidth="1"/>
    <col min="10778" max="10782" width="2.109375" style="38" customWidth="1"/>
    <col min="10783" max="10791" width="2.33203125" style="38" customWidth="1"/>
    <col min="10792" max="10796" width="2.109375" style="38" customWidth="1"/>
    <col min="10797" max="11008" width="8.88671875" style="38"/>
    <col min="11009" max="11033" width="2.33203125" style="38" customWidth="1"/>
    <col min="11034" max="11038" width="2.109375" style="38" customWidth="1"/>
    <col min="11039" max="11047" width="2.33203125" style="38" customWidth="1"/>
    <col min="11048" max="11052" width="2.109375" style="38" customWidth="1"/>
    <col min="11053" max="11264" width="8.88671875" style="38"/>
    <col min="11265" max="11289" width="2.33203125" style="38" customWidth="1"/>
    <col min="11290" max="11294" width="2.109375" style="38" customWidth="1"/>
    <col min="11295" max="11303" width="2.33203125" style="38" customWidth="1"/>
    <col min="11304" max="11308" width="2.109375" style="38" customWidth="1"/>
    <col min="11309" max="11520" width="8.88671875" style="38"/>
    <col min="11521" max="11545" width="2.33203125" style="38" customWidth="1"/>
    <col min="11546" max="11550" width="2.109375" style="38" customWidth="1"/>
    <col min="11551" max="11559" width="2.33203125" style="38" customWidth="1"/>
    <col min="11560" max="11564" width="2.109375" style="38" customWidth="1"/>
    <col min="11565" max="11776" width="8.88671875" style="38"/>
    <col min="11777" max="11801" width="2.33203125" style="38" customWidth="1"/>
    <col min="11802" max="11806" width="2.109375" style="38" customWidth="1"/>
    <col min="11807" max="11815" width="2.33203125" style="38" customWidth="1"/>
    <col min="11816" max="11820" width="2.109375" style="38" customWidth="1"/>
    <col min="11821" max="12032" width="8.88671875" style="38"/>
    <col min="12033" max="12057" width="2.33203125" style="38" customWidth="1"/>
    <col min="12058" max="12062" width="2.109375" style="38" customWidth="1"/>
    <col min="12063" max="12071" width="2.33203125" style="38" customWidth="1"/>
    <col min="12072" max="12076" width="2.109375" style="38" customWidth="1"/>
    <col min="12077" max="12288" width="8.88671875" style="38"/>
    <col min="12289" max="12313" width="2.33203125" style="38" customWidth="1"/>
    <col min="12314" max="12318" width="2.109375" style="38" customWidth="1"/>
    <col min="12319" max="12327" width="2.33203125" style="38" customWidth="1"/>
    <col min="12328" max="12332" width="2.109375" style="38" customWidth="1"/>
    <col min="12333" max="12544" width="8.88671875" style="38"/>
    <col min="12545" max="12569" width="2.33203125" style="38" customWidth="1"/>
    <col min="12570" max="12574" width="2.109375" style="38" customWidth="1"/>
    <col min="12575" max="12583" width="2.33203125" style="38" customWidth="1"/>
    <col min="12584" max="12588" width="2.109375" style="38" customWidth="1"/>
    <col min="12589" max="12800" width="8.88671875" style="38"/>
    <col min="12801" max="12825" width="2.33203125" style="38" customWidth="1"/>
    <col min="12826" max="12830" width="2.109375" style="38" customWidth="1"/>
    <col min="12831" max="12839" width="2.33203125" style="38" customWidth="1"/>
    <col min="12840" max="12844" width="2.109375" style="38" customWidth="1"/>
    <col min="12845" max="13056" width="8.88671875" style="38"/>
    <col min="13057" max="13081" width="2.33203125" style="38" customWidth="1"/>
    <col min="13082" max="13086" width="2.109375" style="38" customWidth="1"/>
    <col min="13087" max="13095" width="2.33203125" style="38" customWidth="1"/>
    <col min="13096" max="13100" width="2.109375" style="38" customWidth="1"/>
    <col min="13101" max="13312" width="8.88671875" style="38"/>
    <col min="13313" max="13337" width="2.33203125" style="38" customWidth="1"/>
    <col min="13338" max="13342" width="2.109375" style="38" customWidth="1"/>
    <col min="13343" max="13351" width="2.33203125" style="38" customWidth="1"/>
    <col min="13352" max="13356" width="2.109375" style="38" customWidth="1"/>
    <col min="13357" max="13568" width="8.88671875" style="38"/>
    <col min="13569" max="13593" width="2.33203125" style="38" customWidth="1"/>
    <col min="13594" max="13598" width="2.109375" style="38" customWidth="1"/>
    <col min="13599" max="13607" width="2.33203125" style="38" customWidth="1"/>
    <col min="13608" max="13612" width="2.109375" style="38" customWidth="1"/>
    <col min="13613" max="13824" width="8.88671875" style="38"/>
    <col min="13825" max="13849" width="2.33203125" style="38" customWidth="1"/>
    <col min="13850" max="13854" width="2.109375" style="38" customWidth="1"/>
    <col min="13855" max="13863" width="2.33203125" style="38" customWidth="1"/>
    <col min="13864" max="13868" width="2.109375" style="38" customWidth="1"/>
    <col min="13869" max="14080" width="8.88671875" style="38"/>
    <col min="14081" max="14105" width="2.33203125" style="38" customWidth="1"/>
    <col min="14106" max="14110" width="2.109375" style="38" customWidth="1"/>
    <col min="14111" max="14119" width="2.33203125" style="38" customWidth="1"/>
    <col min="14120" max="14124" width="2.109375" style="38" customWidth="1"/>
    <col min="14125" max="14336" width="8.88671875" style="38"/>
    <col min="14337" max="14361" width="2.33203125" style="38" customWidth="1"/>
    <col min="14362" max="14366" width="2.109375" style="38" customWidth="1"/>
    <col min="14367" max="14375" width="2.33203125" style="38" customWidth="1"/>
    <col min="14376" max="14380" width="2.109375" style="38" customWidth="1"/>
    <col min="14381" max="14592" width="8.88671875" style="38"/>
    <col min="14593" max="14617" width="2.33203125" style="38" customWidth="1"/>
    <col min="14618" max="14622" width="2.109375" style="38" customWidth="1"/>
    <col min="14623" max="14631" width="2.33203125" style="38" customWidth="1"/>
    <col min="14632" max="14636" width="2.109375" style="38" customWidth="1"/>
    <col min="14637" max="14848" width="8.88671875" style="38"/>
    <col min="14849" max="14873" width="2.33203125" style="38" customWidth="1"/>
    <col min="14874" max="14878" width="2.109375" style="38" customWidth="1"/>
    <col min="14879" max="14887" width="2.33203125" style="38" customWidth="1"/>
    <col min="14888" max="14892" width="2.109375" style="38" customWidth="1"/>
    <col min="14893" max="15104" width="8.88671875" style="38"/>
    <col min="15105" max="15129" width="2.33203125" style="38" customWidth="1"/>
    <col min="15130" max="15134" width="2.109375" style="38" customWidth="1"/>
    <col min="15135" max="15143" width="2.33203125" style="38" customWidth="1"/>
    <col min="15144" max="15148" width="2.109375" style="38" customWidth="1"/>
    <col min="15149" max="15360" width="8.88671875" style="38"/>
    <col min="15361" max="15385" width="2.33203125" style="38" customWidth="1"/>
    <col min="15386" max="15390" width="2.109375" style="38" customWidth="1"/>
    <col min="15391" max="15399" width="2.33203125" style="38" customWidth="1"/>
    <col min="15400" max="15404" width="2.109375" style="38" customWidth="1"/>
    <col min="15405" max="15616" width="8.88671875" style="38"/>
    <col min="15617" max="15641" width="2.33203125" style="38" customWidth="1"/>
    <col min="15642" max="15646" width="2.109375" style="38" customWidth="1"/>
    <col min="15647" max="15655" width="2.33203125" style="38" customWidth="1"/>
    <col min="15656" max="15660" width="2.109375" style="38" customWidth="1"/>
    <col min="15661" max="15872" width="8.88671875" style="38"/>
    <col min="15873" max="15897" width="2.33203125" style="38" customWidth="1"/>
    <col min="15898" max="15902" width="2.109375" style="38" customWidth="1"/>
    <col min="15903" max="15911" width="2.33203125" style="38" customWidth="1"/>
    <col min="15912" max="15916" width="2.109375" style="38" customWidth="1"/>
    <col min="15917" max="16128" width="8.88671875" style="38"/>
    <col min="16129" max="16153" width="2.33203125" style="38" customWidth="1"/>
    <col min="16154" max="16158" width="2.109375" style="38" customWidth="1"/>
    <col min="16159" max="16167" width="2.33203125" style="38" customWidth="1"/>
    <col min="16168" max="16172" width="2.109375" style="38" customWidth="1"/>
    <col min="16173" max="16384" width="8.88671875" style="38"/>
  </cols>
  <sheetData>
    <row r="1" spans="1:256" ht="20.399999999999999" x14ac:dyDescent="0.3">
      <c r="A1" s="37" t="s">
        <v>40</v>
      </c>
      <c r="AO1" s="41">
        <v>0</v>
      </c>
      <c r="AP1" s="42"/>
      <c r="AQ1" s="42"/>
      <c r="AR1" s="41">
        <v>0</v>
      </c>
      <c r="AV1" s="43">
        <v>1.3888888888888888E-2</v>
      </c>
    </row>
    <row r="2" spans="1:256" x14ac:dyDescent="0.3">
      <c r="A2" s="38" t="s">
        <v>42</v>
      </c>
      <c r="E2" s="38" t="s">
        <v>76</v>
      </c>
      <c r="P2" s="44" t="s">
        <v>22</v>
      </c>
      <c r="Q2" s="45"/>
      <c r="R2" s="45"/>
      <c r="S2" s="45"/>
      <c r="T2" s="45"/>
      <c r="U2" s="45"/>
      <c r="V2" s="45"/>
      <c r="W2" s="45" t="s">
        <v>3</v>
      </c>
      <c r="X2" s="45"/>
      <c r="Y2" s="46" t="s">
        <v>41</v>
      </c>
      <c r="Z2" s="45"/>
      <c r="AA2" s="45"/>
      <c r="AB2" s="45"/>
      <c r="AC2" s="45"/>
      <c r="AD2" s="47"/>
      <c r="AE2" s="48"/>
      <c r="AF2" s="48"/>
      <c r="AG2" s="49"/>
    </row>
    <row r="3" spans="1:256" ht="15" thickBot="1" x14ac:dyDescent="0.35">
      <c r="A3" s="38" t="s">
        <v>19</v>
      </c>
      <c r="D3" s="415">
        <f>Wedstrijden!I2</f>
        <v>45732</v>
      </c>
      <c r="E3" s="416"/>
      <c r="F3" s="416"/>
      <c r="G3" s="416"/>
      <c r="H3" s="416"/>
      <c r="I3" s="416"/>
      <c r="J3" s="416"/>
      <c r="K3" s="416"/>
      <c r="L3" s="416"/>
      <c r="M3" s="416"/>
      <c r="N3" s="417"/>
      <c r="P3" s="50" t="s">
        <v>18</v>
      </c>
      <c r="Q3" s="51" t="s">
        <v>43</v>
      </c>
      <c r="W3" s="38" t="s">
        <v>0</v>
      </c>
      <c r="Y3" s="51" t="s">
        <v>44</v>
      </c>
      <c r="AG3" s="52"/>
    </row>
    <row r="4" spans="1:256" x14ac:dyDescent="0.3">
      <c r="A4" s="38" t="s">
        <v>20</v>
      </c>
      <c r="D4" s="418">
        <v>21</v>
      </c>
      <c r="E4" s="418"/>
      <c r="F4" s="53"/>
      <c r="G4" s="419">
        <f>VLOOKUP(D4,Wedstrijden!A6:B57,2,0)</f>
        <v>0.71527777777777779</v>
      </c>
      <c r="H4" s="419"/>
      <c r="I4" s="419"/>
      <c r="J4" s="54" t="s">
        <v>16</v>
      </c>
      <c r="K4" s="419">
        <f>G4+AV1</f>
        <v>0.72916666666666663</v>
      </c>
      <c r="L4" s="419"/>
      <c r="M4" s="419"/>
      <c r="N4" s="53"/>
      <c r="P4" s="50" t="s">
        <v>17</v>
      </c>
      <c r="Q4" s="51" t="s">
        <v>45</v>
      </c>
      <c r="W4" s="38" t="s">
        <v>9</v>
      </c>
      <c r="Y4" s="51" t="s">
        <v>46</v>
      </c>
      <c r="AG4" s="52"/>
      <c r="BF4" s="406" t="s">
        <v>102</v>
      </c>
      <c r="BG4" s="407"/>
      <c r="BH4" s="407"/>
      <c r="BI4" s="408"/>
    </row>
    <row r="5" spans="1:256" x14ac:dyDescent="0.3">
      <c r="A5" s="38" t="s">
        <v>164</v>
      </c>
      <c r="D5" s="260" t="str">
        <f>VLOOKUP(D4,Wedstrijden!A6:D33,4,0)</f>
        <v>A</v>
      </c>
      <c r="P5" s="50" t="s">
        <v>10</v>
      </c>
      <c r="Q5" s="51" t="s">
        <v>47</v>
      </c>
      <c r="W5" s="38" t="s">
        <v>12</v>
      </c>
      <c r="Y5" s="51" t="s">
        <v>48</v>
      </c>
      <c r="AG5" s="52"/>
      <c r="BF5" s="409"/>
      <c r="BG5" s="410"/>
      <c r="BH5" s="410"/>
      <c r="BI5" s="411"/>
    </row>
    <row r="6" spans="1:256" ht="14.4" thickBot="1" x14ac:dyDescent="0.2">
      <c r="A6" s="38" t="s">
        <v>21</v>
      </c>
      <c r="D6" s="55" t="str">
        <f>Wedstrijden!K2</f>
        <v>Den Bosch</v>
      </c>
      <c r="P6" s="50" t="s">
        <v>11</v>
      </c>
      <c r="Q6" s="51" t="s">
        <v>49</v>
      </c>
      <c r="W6" s="38" t="s">
        <v>13</v>
      </c>
      <c r="Y6" s="51" t="s">
        <v>50</v>
      </c>
      <c r="AG6" s="52"/>
      <c r="AH6" s="354" t="s">
        <v>51</v>
      </c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BF6" s="412"/>
      <c r="BG6" s="413"/>
      <c r="BH6" s="413"/>
      <c r="BI6" s="414"/>
    </row>
    <row r="7" spans="1:256" x14ac:dyDescent="0.2">
      <c r="A7" s="56" t="s">
        <v>52</v>
      </c>
      <c r="B7" s="57"/>
      <c r="C7" s="57"/>
      <c r="D7" s="57"/>
      <c r="E7" s="58" t="s">
        <v>53</v>
      </c>
      <c r="F7" s="57"/>
      <c r="G7" s="59" t="str">
        <f>VLOOKUP(D4,Wedstrijden!A6:L57,5,0)</f>
        <v>Aqua Novio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 t="s">
        <v>54</v>
      </c>
      <c r="X7" s="57"/>
      <c r="Y7" s="57"/>
      <c r="Z7" s="58" t="s">
        <v>55</v>
      </c>
      <c r="AA7" s="58"/>
      <c r="AB7" s="57"/>
      <c r="AC7" s="59" t="str">
        <f>VLOOKUP(D4,Wedstrijden!A6:L57,9,0)</f>
        <v>VZ&amp;PC Nautilus 2</v>
      </c>
      <c r="AD7" s="60"/>
      <c r="AE7" s="61"/>
      <c r="AF7" s="61"/>
      <c r="AG7" s="61"/>
      <c r="AH7" s="61"/>
      <c r="AI7" s="61"/>
      <c r="AJ7" s="57"/>
      <c r="AK7" s="57"/>
      <c r="AL7" s="57"/>
      <c r="AM7" s="57"/>
      <c r="AN7" s="57"/>
      <c r="AO7" s="61"/>
      <c r="AP7" s="57"/>
      <c r="AQ7" s="57"/>
      <c r="AR7" s="62"/>
    </row>
    <row r="8" spans="1:256" x14ac:dyDescent="0.3">
      <c r="A8" s="63" t="s">
        <v>56</v>
      </c>
      <c r="B8" s="64"/>
      <c r="C8" s="64"/>
      <c r="D8" s="64"/>
      <c r="E8" s="64"/>
      <c r="F8" s="64"/>
      <c r="G8" s="64"/>
      <c r="H8" s="64"/>
      <c r="I8" s="64"/>
      <c r="J8" s="65" t="str">
        <f>VLOOKUP(D4,Wedstrijden!A6:P343,13,0)</f>
        <v>Niels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 t="s">
        <v>57</v>
      </c>
      <c r="X8" s="64"/>
      <c r="Y8" s="64"/>
      <c r="Z8" s="66" t="str">
        <f>VLOOKUP(D4,Wedstrijden!A6:N170,14,0)</f>
        <v>Gea</v>
      </c>
      <c r="AA8" s="64"/>
      <c r="AB8" s="64"/>
      <c r="AC8" s="64"/>
      <c r="AD8" s="67"/>
      <c r="AE8" s="68"/>
      <c r="AF8" s="68"/>
      <c r="AG8" s="68"/>
      <c r="AH8" s="68"/>
      <c r="AI8" s="68"/>
      <c r="AJ8" s="69" t="s">
        <v>17</v>
      </c>
      <c r="AK8" s="64"/>
      <c r="AL8" s="64"/>
      <c r="AM8" s="64"/>
      <c r="AN8" s="64"/>
      <c r="AO8" s="68"/>
      <c r="AP8" s="64"/>
      <c r="AQ8" s="64"/>
      <c r="AR8" s="70"/>
    </row>
    <row r="9" spans="1:256" ht="14.4" thickBot="1" x14ac:dyDescent="0.35">
      <c r="A9" s="71" t="s">
        <v>58</v>
      </c>
      <c r="B9" s="72"/>
      <c r="C9" s="72"/>
      <c r="D9" s="72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 t="s">
        <v>59</v>
      </c>
      <c r="X9" s="72"/>
      <c r="Y9" s="72"/>
      <c r="Z9" s="72"/>
      <c r="AA9" s="72"/>
      <c r="AB9" s="73"/>
      <c r="AC9" s="73"/>
      <c r="AD9" s="75"/>
      <c r="AE9" s="76"/>
      <c r="AF9" s="76"/>
      <c r="AG9" s="76"/>
      <c r="AH9" s="76"/>
      <c r="AI9" s="76"/>
      <c r="AJ9" s="73"/>
      <c r="AK9" s="73"/>
      <c r="AL9" s="73"/>
      <c r="AM9" s="73"/>
      <c r="AN9" s="73"/>
      <c r="AO9" s="76"/>
      <c r="AP9" s="73"/>
      <c r="AQ9" s="73"/>
      <c r="AR9" s="77"/>
    </row>
    <row r="10" spans="1:256" ht="15" x14ac:dyDescent="0.3">
      <c r="A10" s="78" t="s">
        <v>60</v>
      </c>
      <c r="B10" s="79"/>
      <c r="C10" s="79"/>
      <c r="D10" s="79"/>
      <c r="E10" s="79"/>
      <c r="F10" s="356" t="str">
        <f>+G7</f>
        <v>Aqua Novio</v>
      </c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7"/>
      <c r="Z10" s="362" t="s">
        <v>8</v>
      </c>
      <c r="AA10" s="363"/>
      <c r="AB10" s="363"/>
      <c r="AC10" s="363"/>
      <c r="AD10" s="364"/>
      <c r="AE10" s="80"/>
      <c r="AF10" s="80"/>
      <c r="AG10" s="80"/>
      <c r="AH10" s="80" t="s">
        <v>61</v>
      </c>
      <c r="AI10" s="80" t="s">
        <v>61</v>
      </c>
      <c r="AJ10" s="371" t="s">
        <v>14</v>
      </c>
      <c r="AK10" s="372"/>
      <c r="AL10" s="377" t="s">
        <v>62</v>
      </c>
      <c r="AM10" s="378"/>
      <c r="AN10" s="383" t="s">
        <v>15</v>
      </c>
      <c r="AO10" s="384"/>
      <c r="AP10" s="384"/>
      <c r="AQ10" s="384"/>
      <c r="AR10" s="385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2" t="s">
        <v>136</v>
      </c>
      <c r="BL10" s="82" t="str">
        <f>CONCATENATE($BL$12&amp;BK10&amp;"x")</f>
        <v>swwx</v>
      </c>
      <c r="BM10" s="82" t="str">
        <f>CONCATENATE($BM$12&amp;BK10&amp;"x")</f>
        <v>dwx</v>
      </c>
      <c r="BN10" s="82" t="str">
        <f>CONCATENATE($BN$12&amp;BK10&amp;"x")</f>
        <v>pwx</v>
      </c>
      <c r="BO10" s="82" t="str">
        <f>CONCATENATE($BO$12&amp;BK10&amp;"x")</f>
        <v>umvwx</v>
      </c>
      <c r="BP10" s="82" t="str">
        <f>CONCATENATE($BP$12&amp;BK10&amp;"x")</f>
        <v>uzvwx</v>
      </c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1" spans="1:256" x14ac:dyDescent="0.3">
      <c r="A11" s="393" t="s">
        <v>7</v>
      </c>
      <c r="B11" s="394"/>
      <c r="C11" s="394"/>
      <c r="D11" s="394"/>
      <c r="E11" s="81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  <c r="Z11" s="365"/>
      <c r="AA11" s="366"/>
      <c r="AB11" s="366"/>
      <c r="AC11" s="366"/>
      <c r="AD11" s="367"/>
      <c r="AE11" s="83" t="s">
        <v>63</v>
      </c>
      <c r="AF11" s="83"/>
      <c r="AG11" s="83"/>
      <c r="AH11" s="83" t="s">
        <v>64</v>
      </c>
      <c r="AI11" s="83" t="s">
        <v>65</v>
      </c>
      <c r="AJ11" s="373"/>
      <c r="AK11" s="374"/>
      <c r="AL11" s="379"/>
      <c r="AM11" s="380"/>
      <c r="AN11" s="386"/>
      <c r="AO11" s="387"/>
      <c r="AP11" s="387"/>
      <c r="AQ11" s="387"/>
      <c r="AR11" s="388"/>
      <c r="AS11" s="81"/>
      <c r="AT11" s="81"/>
      <c r="AU11" s="81" t="s">
        <v>17</v>
      </c>
      <c r="AV11" s="81" t="s">
        <v>18</v>
      </c>
      <c r="AW11" s="81" t="s">
        <v>77</v>
      </c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2" t="s">
        <v>142</v>
      </c>
      <c r="BL11" s="82" t="str">
        <f>CONCATENATE($BL$12&amp;BK11&amp;"x")</f>
        <v>swbx</v>
      </c>
      <c r="BM11" s="82" t="str">
        <f>CONCATENATE($BM$12&amp;BK11&amp;"x")</f>
        <v>dbx</v>
      </c>
      <c r="BN11" s="82" t="str">
        <f>CONCATENATE($BN$12&amp;BK11&amp;"x")</f>
        <v>pbx</v>
      </c>
      <c r="BO11" s="82" t="str">
        <f>CONCATENATE($BO$12&amp;BK11&amp;"x")</f>
        <v>umvbx</v>
      </c>
      <c r="BP11" s="82" t="str">
        <f>CONCATENATE($BP$12&amp;BK11&amp;"x")</f>
        <v>uzvbx</v>
      </c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</row>
    <row r="12" spans="1:256" ht="18" x14ac:dyDescent="0.35">
      <c r="A12" s="395"/>
      <c r="B12" s="396"/>
      <c r="C12" s="396"/>
      <c r="D12" s="394"/>
      <c r="E12" s="81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1"/>
      <c r="Z12" s="368"/>
      <c r="AA12" s="369"/>
      <c r="AB12" s="369"/>
      <c r="AC12" s="369"/>
      <c r="AD12" s="370"/>
      <c r="AE12" s="84" t="s">
        <v>17</v>
      </c>
      <c r="AF12" s="84" t="s">
        <v>10</v>
      </c>
      <c r="AG12" s="84" t="s">
        <v>11</v>
      </c>
      <c r="AH12" s="84" t="s">
        <v>66</v>
      </c>
      <c r="AI12" s="84" t="s">
        <v>66</v>
      </c>
      <c r="AJ12" s="375"/>
      <c r="AK12" s="376"/>
      <c r="AL12" s="381"/>
      <c r="AM12" s="382"/>
      <c r="AN12" s="389" t="s">
        <v>17</v>
      </c>
      <c r="AO12" s="369"/>
      <c r="AP12" s="85"/>
      <c r="AQ12" s="369" t="s">
        <v>18</v>
      </c>
      <c r="AR12" s="390"/>
      <c r="AS12" s="81"/>
      <c r="AT12" s="81"/>
      <c r="AU12" s="81" t="s">
        <v>78</v>
      </c>
      <c r="AV12" s="81" t="s">
        <v>79</v>
      </c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 t="s">
        <v>138</v>
      </c>
      <c r="BM12" s="81" t="s">
        <v>139</v>
      </c>
      <c r="BN12" s="81" t="s">
        <v>79</v>
      </c>
      <c r="BO12" s="81" t="s">
        <v>140</v>
      </c>
      <c r="BP12" s="81" t="s">
        <v>141</v>
      </c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</row>
    <row r="13" spans="1:256" ht="15.6" x14ac:dyDescent="0.3">
      <c r="A13" s="86" t="s">
        <v>0</v>
      </c>
      <c r="B13" s="87" t="s">
        <v>1</v>
      </c>
      <c r="C13" s="88"/>
      <c r="D13" s="89"/>
      <c r="E13" s="88" t="s">
        <v>2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90"/>
      <c r="V13" s="91" t="s">
        <v>3</v>
      </c>
      <c r="W13" s="91" t="s">
        <v>4</v>
      </c>
      <c r="X13" s="91" t="s">
        <v>5</v>
      </c>
      <c r="Y13" s="92" t="s">
        <v>6</v>
      </c>
      <c r="Z13" s="93"/>
      <c r="AA13" s="94">
        <v>1</v>
      </c>
      <c r="AB13" s="95" t="s">
        <v>16</v>
      </c>
      <c r="AC13" s="94">
        <v>2</v>
      </c>
      <c r="AD13" s="96">
        <v>0</v>
      </c>
      <c r="AE13" s="97"/>
      <c r="AF13" s="97"/>
      <c r="AG13" s="98" t="s">
        <v>265</v>
      </c>
      <c r="AH13" s="99"/>
      <c r="AI13" s="99"/>
      <c r="AJ13" s="391" t="s">
        <v>18</v>
      </c>
      <c r="AK13" s="392"/>
      <c r="AL13" s="401">
        <v>4</v>
      </c>
      <c r="AM13" s="402"/>
      <c r="AN13" s="100"/>
      <c r="AO13" s="101">
        <f>IF(BQ13="","",IF(BQ13=$BL$10,"2"+AO1,IF(BQ13=$BM$10,"1"+AO1,IF(BQ13=$BN$10,"0"+AO1,IF(BQ13=$BO$10,"0"+AO1,IF(BQ13=$BP$10,"0"+AO1,"0"+AO1))))))</f>
        <v>0</v>
      </c>
      <c r="AP13" s="95" t="s">
        <v>16</v>
      </c>
      <c r="AQ13" s="102"/>
      <c r="AR13" s="103">
        <f>IF(BQ13="","",IF(BQ13=$BL$11,"2"+AR1,IF(BQ13=$BM$11,"1"+AR1,IF(BQ13=$BN$11,"0"+AR1,IF(BQ13=$BO$11,"0"+AR1,IF(BQ13=$BP$11,"0"+AR1,"0"+AR1))))))</f>
        <v>1</v>
      </c>
      <c r="AY13" s="38" t="str">
        <f>CONCATENATE(AJ13&amp;AL13)</f>
        <v>B4</v>
      </c>
      <c r="AZ13" s="38" t="str">
        <f>IF(AE13=$AW$11,"2","0")</f>
        <v>0</v>
      </c>
      <c r="BA13" s="38" t="str">
        <f>IF(AG13=$AW$11,"1","0")</f>
        <v>1</v>
      </c>
      <c r="BB13" s="38" t="str">
        <f>IF(AF13=$AW$11,"1","0")</f>
        <v>0</v>
      </c>
      <c r="BC13" s="38">
        <f>AZ13+BA13</f>
        <v>1</v>
      </c>
      <c r="BD13" s="38">
        <f>BB13+0</f>
        <v>0</v>
      </c>
      <c r="BL13" s="38" t="str">
        <f>IF(AE13="","",CONCATENATE($BL$12&amp;AJ13&amp;AE13))</f>
        <v/>
      </c>
      <c r="BM13" s="38" t="str">
        <f>IF(AG13="","",CONCATENATE($BM$12&amp;AJ13&amp;AG13))</f>
        <v>dBX</v>
      </c>
      <c r="BN13" s="38" t="str">
        <f>IF(AF13="","",CONCATENATE($BN$12&amp;AJ13,AF13))</f>
        <v/>
      </c>
      <c r="BO13" s="38" t="str">
        <f>IF(AH13="","",CONCATENATE($BO$12&amp;AJ13&amp;AH13))</f>
        <v/>
      </c>
      <c r="BP13" s="38" t="str">
        <f>IF(AI13="","",CONCATENATE($BP$12&amp;AJ13&amp;AI13))</f>
        <v/>
      </c>
      <c r="BQ13" s="38" t="str">
        <f>CONCATENATE(BL13&amp;BM13&amp;BN13&amp;BO13&amp;BP13)</f>
        <v>dBX</v>
      </c>
    </row>
    <row r="14" spans="1:256" ht="15.6" x14ac:dyDescent="0.3">
      <c r="A14" s="104" t="s">
        <v>265</v>
      </c>
      <c r="B14" s="397">
        <f>IF(ISBLANK(HLOOKUP($F$10,spelerslijsten!$B$1:$J$22,4,FALSE)),"",HLOOKUP($F$10,spelerslijsten!$B$1:$J$22,4,FALSE))</f>
        <v>2</v>
      </c>
      <c r="C14" s="398"/>
      <c r="D14" s="105"/>
      <c r="E14" s="106" t="str">
        <f>IF(ISBLANK(HLOOKUP($F$10,spelerslijsten!$B$1:$J$22,3,FALSE)),"",HLOOKUP($F$10,spelerslijsten!$B$1:$J$22,3,FALSE))</f>
        <v>Jop van Weel</v>
      </c>
      <c r="F14" s="107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8">
        <f t="shared" ref="V14:V20" si="0">SUMIF($AY$13:$AY$46,AT14,$BC$13:$BC$46)</f>
        <v>0</v>
      </c>
      <c r="W14" s="109" t="str">
        <f>IF(AU14&gt;0,"x","")</f>
        <v/>
      </c>
      <c r="X14" s="110" t="str">
        <f>IF(AU14&gt;1,"x","")</f>
        <v/>
      </c>
      <c r="Y14" s="103" t="str">
        <f>IF(AU14&gt;2,"x","")</f>
        <v/>
      </c>
      <c r="Z14" s="111"/>
      <c r="AA14" s="112">
        <v>2</v>
      </c>
      <c r="AB14" s="113" t="str">
        <f>+AB13</f>
        <v>-</v>
      </c>
      <c r="AC14" s="112">
        <v>1</v>
      </c>
      <c r="AD14" s="114">
        <v>2</v>
      </c>
      <c r="AE14" s="115"/>
      <c r="AF14" s="115"/>
      <c r="AG14" s="116" t="s">
        <v>265</v>
      </c>
      <c r="AH14" s="117"/>
      <c r="AI14" s="117"/>
      <c r="AJ14" s="342" t="s">
        <v>18</v>
      </c>
      <c r="AK14" s="343"/>
      <c r="AL14" s="346">
        <v>10</v>
      </c>
      <c r="AM14" s="347"/>
      <c r="AN14" s="118"/>
      <c r="AO14" s="101">
        <f>IF(BQ14="","",IF(BQ14=$BL$10,"2"+AO13,IF(BQ14=$BM$10,"1"+AO13,IF(BQ14=$BN$10,"0"+AO13,IF(BQ14=$BO$10,"0"+AO13,IF(BQ14=$BP$10,"0"+AO13,"0"+AO13))))))</f>
        <v>0</v>
      </c>
      <c r="AP14" s="113" t="str">
        <f>+AP13</f>
        <v>-</v>
      </c>
      <c r="AQ14" s="119"/>
      <c r="AR14" s="103">
        <f>IF(BQ14="","",IF(BQ14=$BL$11,"2"+AR13,IF(BQ14=$BM$11,"1"+AR13,IF(BQ14=$BN$11,"0"+AR13,IF(BQ14=$BO$11,"0"+AR13,IF(BQ14=$BP$11,"0"+AR13,"0"+AR13))))))</f>
        <v>2</v>
      </c>
      <c r="AT14" s="38" t="str">
        <f>CONCATENATE($AU$11&amp;B14)</f>
        <v>W2</v>
      </c>
      <c r="AU14" s="38">
        <f>SUMIF($AY$13:$AY$46,AT14,$BD$13:$BD$46)</f>
        <v>0</v>
      </c>
      <c r="AY14" s="38" t="str">
        <f t="shared" ref="AY14:AY46" si="1">CONCATENATE(AJ14&amp;AL14)</f>
        <v>B10</v>
      </c>
      <c r="AZ14" s="38" t="str">
        <f t="shared" ref="AZ14:AZ46" si="2">IF(AE14=$AW$11,"2","0")</f>
        <v>0</v>
      </c>
      <c r="BA14" s="38" t="str">
        <f t="shared" ref="BA14:BA46" si="3">IF(AG14=$AW$11,"1","0")</f>
        <v>1</v>
      </c>
      <c r="BB14" s="38" t="str">
        <f t="shared" ref="BB14:BB46" si="4">IF(AF14=$AW$11,"1","0")</f>
        <v>0</v>
      </c>
      <c r="BC14" s="38">
        <f t="shared" ref="BC14:BC46" si="5">AZ14+BA14</f>
        <v>1</v>
      </c>
      <c r="BD14" s="38">
        <f t="shared" ref="BD14:BD46" si="6">BB14+0</f>
        <v>0</v>
      </c>
      <c r="BL14" s="38" t="str">
        <f t="shared" ref="BL14:BL46" si="7">IF(AE14="","",CONCATENATE($BL$12&amp;AJ14&amp;AE14))</f>
        <v/>
      </c>
      <c r="BM14" s="38" t="str">
        <f t="shared" ref="BM14:BM46" si="8">IF(AG14="","",CONCATENATE($BM$12&amp;AJ14&amp;AG14))</f>
        <v>dBX</v>
      </c>
      <c r="BN14" s="38" t="str">
        <f t="shared" ref="BN14:BN46" si="9">IF(AF14="","",CONCATENATE($BN$12&amp;AJ14,AF14))</f>
        <v/>
      </c>
      <c r="BO14" s="38" t="str">
        <f t="shared" ref="BO14:BO46" si="10">IF(AH14="","",CONCATENATE($BO$12&amp;AJ14&amp;AH14))</f>
        <v/>
      </c>
      <c r="BP14" s="38" t="str">
        <f t="shared" ref="BP14:BP46" si="11">IF(AI14="","",CONCATENATE($BP$12&amp;AJ14&amp;AI14))</f>
        <v/>
      </c>
      <c r="BQ14" s="38" t="str">
        <f t="shared" ref="BQ14:BQ46" si="12">CONCATENATE(BL14&amp;BM14&amp;BN14&amp;BO14&amp;BP14)</f>
        <v>dBX</v>
      </c>
    </row>
    <row r="15" spans="1:256" ht="15.6" x14ac:dyDescent="0.3">
      <c r="A15" s="120"/>
      <c r="B15" s="397">
        <f>IF(ISBLANK(HLOOKUP($F$10,spelerslijsten!$B$1:$J$22,6,FALSE)),"",HLOOKUP($F$10,spelerslijsten!$B$1:$J$22,6,FALSE))</f>
        <v>3</v>
      </c>
      <c r="C15" s="398"/>
      <c r="D15" s="121"/>
      <c r="E15" s="122" t="str">
        <f>IF(ISBLANK(HLOOKUP($F$10,spelerslijsten!$B$1:$J$22,5,FALSE)),"",HLOOKUP($F$10,spelerslijsten!$B$1:$J$22,5,FALSE))</f>
        <v>Collin Bijnen</v>
      </c>
      <c r="F15" s="123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08">
        <f t="shared" si="0"/>
        <v>0</v>
      </c>
      <c r="W15" s="109" t="str">
        <f t="shared" ref="W15:W23" si="13">IF(AU15&gt;0,"x","")</f>
        <v/>
      </c>
      <c r="X15" s="110" t="str">
        <f t="shared" ref="X15:X23" si="14">IF(AU15&gt;1,"x","")</f>
        <v/>
      </c>
      <c r="Y15" s="103" t="str">
        <f t="shared" ref="Y15:Y23" si="15">IF(AU15&gt;2,"x","")</f>
        <v/>
      </c>
      <c r="Z15" s="111"/>
      <c r="AA15" s="112">
        <v>4</v>
      </c>
      <c r="AB15" s="113" t="str">
        <f t="shared" ref="AB15:AB44" si="16">+AB14</f>
        <v>-</v>
      </c>
      <c r="AC15" s="112">
        <v>1</v>
      </c>
      <c r="AD15" s="114">
        <v>5</v>
      </c>
      <c r="AE15" s="115"/>
      <c r="AF15" s="115"/>
      <c r="AG15" s="116" t="s">
        <v>265</v>
      </c>
      <c r="AH15" s="117"/>
      <c r="AI15" s="117"/>
      <c r="AJ15" s="342" t="s">
        <v>17</v>
      </c>
      <c r="AK15" s="343"/>
      <c r="AL15" s="346">
        <v>12</v>
      </c>
      <c r="AM15" s="347"/>
      <c r="AN15" s="118"/>
      <c r="AO15" s="101">
        <f>IF(BQ15="","",IF(BQ15=$BL$10,"2"+AO14,IF(BQ15=$BM$10,"1"+AO14,IF(BQ15=$BN$10,"0"+AO14,IF(BQ15=$BO$10,"0"+AO14,IF(BQ15=$BP$10,"0"+AO14,"0"+AO14))))))</f>
        <v>1</v>
      </c>
      <c r="AP15" s="113" t="str">
        <f>+AP14</f>
        <v>-</v>
      </c>
      <c r="AQ15" s="119"/>
      <c r="AR15" s="103">
        <f>IF(BQ15="","",IF(BQ15=$BL$11,"2"+AR14,IF(BQ15=$BM$11,"1"+AR14,IF(BQ15=$BN$11,"0"+AR14,IF(BQ15=$BO$11,"0"+AR14,IF(BQ15=$BP$11,"0"+AR14,"0"+AR14))))))</f>
        <v>2</v>
      </c>
      <c r="AT15" s="38" t="str">
        <f t="shared" ref="AT15:AT23" si="17">CONCATENATE($AU$11&amp;B15)</f>
        <v>W3</v>
      </c>
      <c r="AU15" s="38">
        <f t="shared" ref="AU15:AU39" si="18">SUMIF($AY$13:$AY$46,AT15,$BD$13:$BD$46)</f>
        <v>0</v>
      </c>
      <c r="AY15" s="38" t="str">
        <f t="shared" si="1"/>
        <v>W12</v>
      </c>
      <c r="AZ15" s="38" t="str">
        <f t="shared" si="2"/>
        <v>0</v>
      </c>
      <c r="BA15" s="38" t="str">
        <f t="shared" si="3"/>
        <v>1</v>
      </c>
      <c r="BB15" s="38" t="str">
        <f t="shared" si="4"/>
        <v>0</v>
      </c>
      <c r="BC15" s="38">
        <f t="shared" si="5"/>
        <v>1</v>
      </c>
      <c r="BD15" s="38">
        <f t="shared" si="6"/>
        <v>0</v>
      </c>
      <c r="BL15" s="38" t="str">
        <f t="shared" si="7"/>
        <v/>
      </c>
      <c r="BM15" s="38" t="str">
        <f t="shared" si="8"/>
        <v>dWX</v>
      </c>
      <c r="BN15" s="38" t="str">
        <f t="shared" si="9"/>
        <v/>
      </c>
      <c r="BO15" s="38" t="str">
        <f t="shared" si="10"/>
        <v/>
      </c>
      <c r="BP15" s="38" t="str">
        <f t="shared" si="11"/>
        <v/>
      </c>
      <c r="BQ15" s="38" t="str">
        <f t="shared" si="12"/>
        <v>dWX</v>
      </c>
    </row>
    <row r="16" spans="1:256" ht="15.6" x14ac:dyDescent="0.3">
      <c r="A16" s="124" t="s">
        <v>265</v>
      </c>
      <c r="B16" s="397">
        <f>IF(ISBLANK(HLOOKUP($F$10,spelerslijsten!$B$1:$J$22,8,FALSE)),"",HLOOKUP($F$10,spelerslijsten!$B$1:$J$22,8,FALSE))</f>
        <v>4</v>
      </c>
      <c r="C16" s="398"/>
      <c r="D16" s="121"/>
      <c r="E16" s="122" t="str">
        <f>IF(ISBLANK(HLOOKUP($F$10,spelerslijsten!$B$1:$J$22,7,FALSE)),"",HLOOKUP($F$10,spelerslijsten!$B$1:$J$22,7,FALSE))</f>
        <v>Lorenz Gerritz</v>
      </c>
      <c r="F16" s="12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08">
        <f t="shared" si="0"/>
        <v>0</v>
      </c>
      <c r="W16" s="109" t="str">
        <f t="shared" si="13"/>
        <v/>
      </c>
      <c r="X16" s="110" t="str">
        <f t="shared" si="14"/>
        <v/>
      </c>
      <c r="Y16" s="103" t="str">
        <f t="shared" si="15"/>
        <v/>
      </c>
      <c r="Z16" s="111"/>
      <c r="AA16" s="112">
        <v>5</v>
      </c>
      <c r="AB16" s="113" t="str">
        <f t="shared" si="16"/>
        <v>-</v>
      </c>
      <c r="AC16" s="112">
        <v>1</v>
      </c>
      <c r="AD16" s="114">
        <v>8</v>
      </c>
      <c r="AE16" s="115"/>
      <c r="AF16" s="115"/>
      <c r="AG16" s="116" t="s">
        <v>265</v>
      </c>
      <c r="AH16" s="117"/>
      <c r="AI16" s="117"/>
      <c r="AJ16" s="342" t="s">
        <v>18</v>
      </c>
      <c r="AK16" s="343"/>
      <c r="AL16" s="346">
        <v>3</v>
      </c>
      <c r="AM16" s="347"/>
      <c r="AN16" s="118"/>
      <c r="AO16" s="101">
        <f t="shared" ref="AO16:AO46" si="19">IF(BQ16="","",IF(BQ16=$BL$10,"2"+AO15,IF(BQ16=$BM$10,"1"+AO15,IF(BQ16=$BN$10,"0"+AO15,IF(BQ16=$BO$10,"0"+AO15,IF(BQ16=$BP$10,"0"+AO15,"0"+AO15))))))</f>
        <v>1</v>
      </c>
      <c r="AP16" s="113" t="str">
        <f t="shared" ref="AP16:AP46" si="20">+AP15</f>
        <v>-</v>
      </c>
      <c r="AQ16" s="119"/>
      <c r="AR16" s="103">
        <f t="shared" ref="AR16:AR46" si="21">IF(BQ16="","",IF(BQ16=$BL$11,"2"+AR15,IF(BQ16=$BM$11,"1"+AR15,IF(BQ16=$BN$11,"0"+AR15,IF(BQ16=$BO$11,"0"+AR15,IF(BQ16=$BP$11,"0"+AR15,"0"+AR15))))))</f>
        <v>3</v>
      </c>
      <c r="AT16" s="38" t="str">
        <f t="shared" si="17"/>
        <v>W4</v>
      </c>
      <c r="AU16" s="38">
        <f t="shared" si="18"/>
        <v>0</v>
      </c>
      <c r="AY16" s="38" t="str">
        <f t="shared" si="1"/>
        <v>B3</v>
      </c>
      <c r="AZ16" s="38" t="str">
        <f t="shared" si="2"/>
        <v>0</v>
      </c>
      <c r="BA16" s="38" t="str">
        <f t="shared" si="3"/>
        <v>1</v>
      </c>
      <c r="BB16" s="38" t="str">
        <f t="shared" si="4"/>
        <v>0</v>
      </c>
      <c r="BC16" s="38">
        <f t="shared" si="5"/>
        <v>1</v>
      </c>
      <c r="BD16" s="38">
        <f t="shared" si="6"/>
        <v>0</v>
      </c>
      <c r="BL16" s="38" t="str">
        <f t="shared" si="7"/>
        <v/>
      </c>
      <c r="BM16" s="38" t="str">
        <f t="shared" si="8"/>
        <v>dBX</v>
      </c>
      <c r="BN16" s="38" t="str">
        <f t="shared" si="9"/>
        <v/>
      </c>
      <c r="BO16" s="38" t="str">
        <f t="shared" si="10"/>
        <v/>
      </c>
      <c r="BP16" s="38" t="str">
        <f t="shared" si="11"/>
        <v/>
      </c>
      <c r="BQ16" s="38" t="str">
        <f t="shared" si="12"/>
        <v>dBX</v>
      </c>
    </row>
    <row r="17" spans="1:69" ht="15.6" x14ac:dyDescent="0.3">
      <c r="A17" s="124" t="s">
        <v>265</v>
      </c>
      <c r="B17" s="397">
        <f>IF(ISBLANK(HLOOKUP($F$10,spelerslijsten!$B$1:$J$22,10,FALSE)),"",HLOOKUP($F$10,spelerslijsten!$B$1:$J$22,10,FALSE))</f>
        <v>5</v>
      </c>
      <c r="C17" s="398"/>
      <c r="D17" s="121"/>
      <c r="E17" s="122" t="str">
        <f>IF(ISBLANK(HLOOKUP($F$10,spelerslijsten!$B$1:$J$22,9,FALSE)),"",HLOOKUP($F$10,spelerslijsten!$B$1:$J$22,9,FALSE))</f>
        <v>Maritz</v>
      </c>
      <c r="F17" s="12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08">
        <f t="shared" si="0"/>
        <v>2</v>
      </c>
      <c r="W17" s="109" t="str">
        <f t="shared" si="13"/>
        <v/>
      </c>
      <c r="X17" s="110" t="str">
        <f t="shared" si="14"/>
        <v/>
      </c>
      <c r="Y17" s="103" t="str">
        <f t="shared" si="15"/>
        <v/>
      </c>
      <c r="Z17" s="111"/>
      <c r="AA17" s="112">
        <v>7</v>
      </c>
      <c r="AB17" s="113" t="str">
        <f t="shared" si="16"/>
        <v>-</v>
      </c>
      <c r="AC17" s="112">
        <v>4</v>
      </c>
      <c r="AD17" s="114">
        <v>0</v>
      </c>
      <c r="AE17" s="115"/>
      <c r="AF17" s="115"/>
      <c r="AG17" s="116" t="s">
        <v>265</v>
      </c>
      <c r="AH17" s="117"/>
      <c r="AI17" s="117"/>
      <c r="AJ17" s="342" t="s">
        <v>18</v>
      </c>
      <c r="AK17" s="343"/>
      <c r="AL17" s="346">
        <v>10</v>
      </c>
      <c r="AM17" s="347"/>
      <c r="AN17" s="118"/>
      <c r="AO17" s="101">
        <f t="shared" si="19"/>
        <v>1</v>
      </c>
      <c r="AP17" s="113" t="str">
        <f t="shared" si="20"/>
        <v>-</v>
      </c>
      <c r="AQ17" s="119"/>
      <c r="AR17" s="103">
        <f t="shared" si="21"/>
        <v>4</v>
      </c>
      <c r="AT17" s="38" t="str">
        <f t="shared" si="17"/>
        <v>W5</v>
      </c>
      <c r="AU17" s="38">
        <f t="shared" si="18"/>
        <v>0</v>
      </c>
      <c r="AY17" s="38" t="str">
        <f t="shared" si="1"/>
        <v>B10</v>
      </c>
      <c r="AZ17" s="38" t="str">
        <f t="shared" si="2"/>
        <v>0</v>
      </c>
      <c r="BA17" s="38" t="str">
        <f t="shared" si="3"/>
        <v>1</v>
      </c>
      <c r="BB17" s="38" t="str">
        <f t="shared" si="4"/>
        <v>0</v>
      </c>
      <c r="BC17" s="38">
        <f t="shared" si="5"/>
        <v>1</v>
      </c>
      <c r="BD17" s="38">
        <f t="shared" si="6"/>
        <v>0</v>
      </c>
      <c r="BL17" s="38" t="str">
        <f t="shared" si="7"/>
        <v/>
      </c>
      <c r="BM17" s="38" t="str">
        <f t="shared" si="8"/>
        <v>dBX</v>
      </c>
      <c r="BN17" s="38" t="str">
        <f t="shared" si="9"/>
        <v/>
      </c>
      <c r="BO17" s="38" t="str">
        <f t="shared" si="10"/>
        <v/>
      </c>
      <c r="BP17" s="38" t="str">
        <f t="shared" si="11"/>
        <v/>
      </c>
      <c r="BQ17" s="38" t="str">
        <f t="shared" si="12"/>
        <v>dBX</v>
      </c>
    </row>
    <row r="18" spans="1:69" ht="15.6" x14ac:dyDescent="0.3">
      <c r="A18" s="124"/>
      <c r="B18" s="397">
        <f>IF(ISBLANK(HLOOKUP($F$10,spelerslijsten!$B$1:$J$22,12,FALSE)),"",HLOOKUP($F$10,spelerslijsten!$B$1:$J$22,12,FALSE))</f>
        <v>7</v>
      </c>
      <c r="C18" s="398"/>
      <c r="D18" s="121"/>
      <c r="E18" s="122" t="str">
        <f>IF(ISBLANK(HLOOKUP($F$10,spelerslijsten!$B$1:$J$22,11,FALSE)),"",HLOOKUP($F$10,spelerslijsten!$B$1:$J$22,11,FALSE))</f>
        <v>Doan Tran Thi Tuc</v>
      </c>
      <c r="F18" s="12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08">
        <f t="shared" si="0"/>
        <v>0</v>
      </c>
      <c r="W18" s="109" t="str">
        <f t="shared" si="13"/>
        <v/>
      </c>
      <c r="X18" s="110" t="str">
        <f t="shared" si="14"/>
        <v/>
      </c>
      <c r="Y18" s="103" t="str">
        <f t="shared" si="15"/>
        <v/>
      </c>
      <c r="Z18" s="111"/>
      <c r="AA18" s="112">
        <v>8</v>
      </c>
      <c r="AB18" s="113" t="s">
        <v>16</v>
      </c>
      <c r="AC18" s="112">
        <v>1</v>
      </c>
      <c r="AD18" s="114">
        <v>6</v>
      </c>
      <c r="AE18" s="115"/>
      <c r="AF18" s="115"/>
      <c r="AG18" s="116" t="s">
        <v>265</v>
      </c>
      <c r="AH18" s="117"/>
      <c r="AI18" s="117"/>
      <c r="AJ18" s="342" t="s">
        <v>17</v>
      </c>
      <c r="AK18" s="343"/>
      <c r="AL18" s="346">
        <v>5</v>
      </c>
      <c r="AM18" s="347"/>
      <c r="AN18" s="118"/>
      <c r="AO18" s="101">
        <f t="shared" si="19"/>
        <v>2</v>
      </c>
      <c r="AP18" s="113" t="str">
        <f t="shared" si="20"/>
        <v>-</v>
      </c>
      <c r="AQ18" s="119"/>
      <c r="AR18" s="103">
        <f t="shared" si="21"/>
        <v>4</v>
      </c>
      <c r="AT18" s="38" t="str">
        <f t="shared" si="17"/>
        <v>W7</v>
      </c>
      <c r="AU18" s="38">
        <f t="shared" si="18"/>
        <v>0</v>
      </c>
      <c r="AY18" s="38" t="str">
        <f t="shared" si="1"/>
        <v>W5</v>
      </c>
      <c r="AZ18" s="38" t="str">
        <f t="shared" si="2"/>
        <v>0</v>
      </c>
      <c r="BA18" s="38" t="str">
        <f t="shared" si="3"/>
        <v>1</v>
      </c>
      <c r="BB18" s="38" t="str">
        <f t="shared" si="4"/>
        <v>0</v>
      </c>
      <c r="BC18" s="38">
        <f t="shared" si="5"/>
        <v>1</v>
      </c>
      <c r="BD18" s="38">
        <f t="shared" si="6"/>
        <v>0</v>
      </c>
      <c r="BL18" s="38" t="str">
        <f t="shared" si="7"/>
        <v/>
      </c>
      <c r="BM18" s="38" t="str">
        <f t="shared" si="8"/>
        <v>dWX</v>
      </c>
      <c r="BN18" s="38" t="str">
        <f t="shared" si="9"/>
        <v/>
      </c>
      <c r="BO18" s="38" t="str">
        <f t="shared" si="10"/>
        <v/>
      </c>
      <c r="BP18" s="38" t="str">
        <f t="shared" si="11"/>
        <v/>
      </c>
      <c r="BQ18" s="38" t="str">
        <f t="shared" si="12"/>
        <v>dWX</v>
      </c>
    </row>
    <row r="19" spans="1:69" ht="15.6" x14ac:dyDescent="0.3">
      <c r="A19" s="124"/>
      <c r="B19" s="397">
        <f>IF(ISBLANK(HLOOKUP($F$10,spelerslijsten!$B$1:$J$22,14,FALSE)),"",HLOOKUP($F$10,spelerslijsten!$B$1:$J$22,14,FALSE))</f>
        <v>8</v>
      </c>
      <c r="C19" s="398"/>
      <c r="D19" s="121"/>
      <c r="E19" s="122" t="str">
        <f>IF(ISBLANK(HLOOKUP($F$10,spelerslijsten!$B$1:$J$22,13,FALSE)),"",HLOOKUP($F$10,spelerslijsten!$B$1:$J$22,13,FALSE))</f>
        <v>Lisa</v>
      </c>
      <c r="F19" s="12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08">
        <f t="shared" si="0"/>
        <v>0</v>
      </c>
      <c r="W19" s="109" t="str">
        <f t="shared" si="13"/>
        <v/>
      </c>
      <c r="X19" s="110" t="str">
        <f t="shared" si="14"/>
        <v/>
      </c>
      <c r="Y19" s="103" t="str">
        <f t="shared" si="15"/>
        <v/>
      </c>
      <c r="Z19" s="111"/>
      <c r="AA19" s="112">
        <v>8</v>
      </c>
      <c r="AB19" s="113" t="str">
        <f t="shared" si="16"/>
        <v>-</v>
      </c>
      <c r="AC19" s="112">
        <v>5</v>
      </c>
      <c r="AD19" s="114">
        <v>2</v>
      </c>
      <c r="AE19" s="115"/>
      <c r="AF19" s="115"/>
      <c r="AG19" s="116" t="s">
        <v>265</v>
      </c>
      <c r="AH19" s="117"/>
      <c r="AI19" s="117"/>
      <c r="AJ19" s="342" t="s">
        <v>18</v>
      </c>
      <c r="AK19" s="343"/>
      <c r="AL19" s="346">
        <v>10</v>
      </c>
      <c r="AM19" s="347"/>
      <c r="AN19" s="118"/>
      <c r="AO19" s="101">
        <f t="shared" si="19"/>
        <v>2</v>
      </c>
      <c r="AP19" s="113" t="str">
        <f t="shared" si="20"/>
        <v>-</v>
      </c>
      <c r="AQ19" s="119"/>
      <c r="AR19" s="103">
        <f t="shared" si="21"/>
        <v>5</v>
      </c>
      <c r="AT19" s="38" t="str">
        <f t="shared" si="17"/>
        <v>W8</v>
      </c>
      <c r="AU19" s="38">
        <f t="shared" si="18"/>
        <v>0</v>
      </c>
      <c r="AY19" s="38" t="str">
        <f t="shared" si="1"/>
        <v>B10</v>
      </c>
      <c r="AZ19" s="38" t="str">
        <f t="shared" si="2"/>
        <v>0</v>
      </c>
      <c r="BA19" s="38" t="str">
        <f t="shared" si="3"/>
        <v>1</v>
      </c>
      <c r="BB19" s="38" t="str">
        <f t="shared" si="4"/>
        <v>0</v>
      </c>
      <c r="BC19" s="38">
        <f t="shared" si="5"/>
        <v>1</v>
      </c>
      <c r="BD19" s="38">
        <f t="shared" si="6"/>
        <v>0</v>
      </c>
      <c r="BL19" s="38" t="str">
        <f t="shared" si="7"/>
        <v/>
      </c>
      <c r="BM19" s="38" t="str">
        <f t="shared" si="8"/>
        <v>dBX</v>
      </c>
      <c r="BN19" s="38" t="str">
        <f t="shared" si="9"/>
        <v/>
      </c>
      <c r="BO19" s="38" t="str">
        <f t="shared" si="10"/>
        <v/>
      </c>
      <c r="BP19" s="38" t="str">
        <f t="shared" si="11"/>
        <v/>
      </c>
      <c r="BQ19" s="38" t="str">
        <f t="shared" si="12"/>
        <v>dBX</v>
      </c>
    </row>
    <row r="20" spans="1:69" ht="15.6" x14ac:dyDescent="0.3">
      <c r="A20" s="124" t="s">
        <v>265</v>
      </c>
      <c r="B20" s="397">
        <f>IF(ISBLANK(HLOOKUP($F$10,spelerslijsten!$B$1:$J$22,16,FALSE)),"",HLOOKUP($F$10,spelerslijsten!$B$1:$J$22,16,FALSE))</f>
        <v>9</v>
      </c>
      <c r="C20" s="398"/>
      <c r="D20" s="121"/>
      <c r="E20" s="122" t="str">
        <f>IF(ISBLANK(HLOOKUP($F$10,spelerslijsten!$B$1:$J$22,15,FALSE)),"",HLOOKUP($F$10,spelerslijsten!$B$1:$J$22,15,FALSE))</f>
        <v>Mo</v>
      </c>
      <c r="F20" s="12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08">
        <f t="shared" si="0"/>
        <v>0</v>
      </c>
      <c r="W20" s="109" t="str">
        <f t="shared" si="13"/>
        <v/>
      </c>
      <c r="X20" s="110" t="str">
        <f t="shared" si="14"/>
        <v/>
      </c>
      <c r="Y20" s="103" t="str">
        <f t="shared" si="15"/>
        <v/>
      </c>
      <c r="Z20" s="111"/>
      <c r="AA20" s="112">
        <v>9</v>
      </c>
      <c r="AB20" s="113" t="str">
        <f t="shared" si="16"/>
        <v>-</v>
      </c>
      <c r="AC20" s="112">
        <v>4</v>
      </c>
      <c r="AD20" s="114">
        <v>8</v>
      </c>
      <c r="AE20" s="115"/>
      <c r="AF20" s="115"/>
      <c r="AG20" s="116" t="s">
        <v>265</v>
      </c>
      <c r="AH20" s="117"/>
      <c r="AI20" s="117"/>
      <c r="AJ20" s="342" t="s">
        <v>18</v>
      </c>
      <c r="AK20" s="343"/>
      <c r="AL20" s="346">
        <v>8</v>
      </c>
      <c r="AM20" s="347"/>
      <c r="AN20" s="118"/>
      <c r="AO20" s="101">
        <f t="shared" si="19"/>
        <v>2</v>
      </c>
      <c r="AP20" s="113" t="str">
        <f t="shared" si="20"/>
        <v>-</v>
      </c>
      <c r="AQ20" s="119"/>
      <c r="AR20" s="103">
        <f t="shared" si="21"/>
        <v>6</v>
      </c>
      <c r="AT20" s="38" t="str">
        <f t="shared" si="17"/>
        <v>W9</v>
      </c>
      <c r="AU20" s="38">
        <f t="shared" si="18"/>
        <v>0</v>
      </c>
      <c r="AY20" s="38" t="str">
        <f t="shared" si="1"/>
        <v>B8</v>
      </c>
      <c r="AZ20" s="38" t="str">
        <f t="shared" si="2"/>
        <v>0</v>
      </c>
      <c r="BA20" s="38" t="str">
        <f t="shared" si="3"/>
        <v>1</v>
      </c>
      <c r="BB20" s="38" t="str">
        <f t="shared" si="4"/>
        <v>0</v>
      </c>
      <c r="BC20" s="38">
        <f t="shared" si="5"/>
        <v>1</v>
      </c>
      <c r="BD20" s="38">
        <f t="shared" si="6"/>
        <v>0</v>
      </c>
      <c r="BL20" s="38" t="str">
        <f t="shared" si="7"/>
        <v/>
      </c>
      <c r="BM20" s="38" t="str">
        <f t="shared" si="8"/>
        <v>dBX</v>
      </c>
      <c r="BN20" s="38" t="str">
        <f t="shared" si="9"/>
        <v/>
      </c>
      <c r="BO20" s="38" t="str">
        <f t="shared" si="10"/>
        <v/>
      </c>
      <c r="BP20" s="38" t="str">
        <f t="shared" si="11"/>
        <v/>
      </c>
      <c r="BQ20" s="38" t="str">
        <f t="shared" si="12"/>
        <v>dBX</v>
      </c>
    </row>
    <row r="21" spans="1:69" ht="15.6" x14ac:dyDescent="0.3">
      <c r="A21" s="124" t="s">
        <v>265</v>
      </c>
      <c r="B21" s="397">
        <f>IF(ISBLANK(HLOOKUP($F$10,spelerslijsten!$B$1:$J$22,18,FALSE)),"",HLOOKUP($F$10,spelerslijsten!$B$1:$J$22,18,FALSE))</f>
        <v>12</v>
      </c>
      <c r="C21" s="398"/>
      <c r="D21" s="121"/>
      <c r="E21" s="122" t="str">
        <f>IF(ISBLANK(HLOOKUP($F$10,spelerslijsten!$B$1:$J$22,17,FALSE)),"",HLOOKUP($F$10,spelerslijsten!$B$1:$J$22,17,FALSE))</f>
        <v>Siemen Pouwels</v>
      </c>
      <c r="F21" s="12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08">
        <f>SUMIF($AY$13:$AY$46,AT21,$BC$13:$BC$46)</f>
        <v>1</v>
      </c>
      <c r="W21" s="109" t="str">
        <f t="shared" si="13"/>
        <v/>
      </c>
      <c r="X21" s="110" t="str">
        <f t="shared" si="14"/>
        <v/>
      </c>
      <c r="Y21" s="103" t="str">
        <f t="shared" si="15"/>
        <v/>
      </c>
      <c r="Z21" s="111">
        <v>1</v>
      </c>
      <c r="AA21" s="112">
        <v>0</v>
      </c>
      <c r="AB21" s="113" t="str">
        <f t="shared" si="16"/>
        <v>-</v>
      </c>
      <c r="AC21" s="112">
        <v>3</v>
      </c>
      <c r="AD21" s="114">
        <v>5</v>
      </c>
      <c r="AE21" s="115"/>
      <c r="AF21" s="115"/>
      <c r="AG21" s="116" t="s">
        <v>265</v>
      </c>
      <c r="AH21" s="117"/>
      <c r="AI21" s="117"/>
      <c r="AJ21" s="342" t="s">
        <v>17</v>
      </c>
      <c r="AK21" s="343"/>
      <c r="AL21" s="346">
        <v>5</v>
      </c>
      <c r="AM21" s="347"/>
      <c r="AN21" s="118"/>
      <c r="AO21" s="101">
        <f t="shared" si="19"/>
        <v>3</v>
      </c>
      <c r="AP21" s="113" t="str">
        <f t="shared" si="20"/>
        <v>-</v>
      </c>
      <c r="AQ21" s="119"/>
      <c r="AR21" s="103">
        <f t="shared" si="21"/>
        <v>6</v>
      </c>
      <c r="AT21" s="38" t="str">
        <f t="shared" si="17"/>
        <v>W12</v>
      </c>
      <c r="AU21" s="38">
        <f t="shared" si="18"/>
        <v>0</v>
      </c>
      <c r="AY21" s="38" t="str">
        <f t="shared" si="1"/>
        <v>W5</v>
      </c>
      <c r="AZ21" s="38" t="str">
        <f t="shared" si="2"/>
        <v>0</v>
      </c>
      <c r="BA21" s="38" t="str">
        <f t="shared" si="3"/>
        <v>1</v>
      </c>
      <c r="BB21" s="38" t="str">
        <f t="shared" si="4"/>
        <v>0</v>
      </c>
      <c r="BC21" s="38">
        <f t="shared" si="5"/>
        <v>1</v>
      </c>
      <c r="BD21" s="38">
        <f t="shared" si="6"/>
        <v>0</v>
      </c>
      <c r="BL21" s="38" t="str">
        <f t="shared" si="7"/>
        <v/>
      </c>
      <c r="BM21" s="38" t="str">
        <f t="shared" si="8"/>
        <v>dWX</v>
      </c>
      <c r="BN21" s="38" t="str">
        <f t="shared" si="9"/>
        <v/>
      </c>
      <c r="BO21" s="38" t="str">
        <f t="shared" si="10"/>
        <v/>
      </c>
      <c r="BP21" s="38" t="str">
        <f t="shared" si="11"/>
        <v/>
      </c>
      <c r="BQ21" s="38" t="str">
        <f t="shared" si="12"/>
        <v>dWX</v>
      </c>
    </row>
    <row r="22" spans="1:69" ht="15.6" x14ac:dyDescent="0.3">
      <c r="A22" s="124" t="s">
        <v>265</v>
      </c>
      <c r="B22" s="397">
        <f>IF(ISBLANK(HLOOKUP($F$10,spelerslijsten!$B$1:$J$22,20,FALSE)),"",HLOOKUP($F$10,spelerslijsten!$B$1:$J$22,20,FALSE))</f>
        <v>13</v>
      </c>
      <c r="C22" s="398"/>
      <c r="D22" s="121"/>
      <c r="E22" s="122" t="str">
        <f>IF(ISBLANK(HLOOKUP($F$10,spelerslijsten!$B$1:$J$22,19,FALSE)),"",HLOOKUP($F$10,spelerslijsten!$B$1:$J$22,19,FALSE))</f>
        <v>Mark van der Heijden (leen)</v>
      </c>
      <c r="F22" s="12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08">
        <f t="shared" ref="V22:V23" si="22">SUMIF($AY$13:$AY$46,AT22,$BC$13:$BC$46)</f>
        <v>0</v>
      </c>
      <c r="W22" s="109" t="str">
        <f t="shared" si="13"/>
        <v/>
      </c>
      <c r="X22" s="110" t="str">
        <f t="shared" si="14"/>
        <v/>
      </c>
      <c r="Y22" s="103" t="str">
        <f t="shared" si="15"/>
        <v/>
      </c>
      <c r="Z22" s="111">
        <v>1</v>
      </c>
      <c r="AA22" s="112">
        <v>1</v>
      </c>
      <c r="AB22" s="113" t="str">
        <f t="shared" si="16"/>
        <v>-</v>
      </c>
      <c r="AC22" s="112">
        <v>3</v>
      </c>
      <c r="AD22" s="114">
        <v>2</v>
      </c>
      <c r="AE22" s="115"/>
      <c r="AF22" s="115"/>
      <c r="AG22" s="116" t="s">
        <v>265</v>
      </c>
      <c r="AH22" s="117"/>
      <c r="AI22" s="117"/>
      <c r="AJ22" s="342" t="s">
        <v>18</v>
      </c>
      <c r="AK22" s="343"/>
      <c r="AL22" s="346">
        <v>10</v>
      </c>
      <c r="AM22" s="347"/>
      <c r="AN22" s="118"/>
      <c r="AO22" s="101">
        <f t="shared" si="19"/>
        <v>3</v>
      </c>
      <c r="AP22" s="113" t="str">
        <f t="shared" si="20"/>
        <v>-</v>
      </c>
      <c r="AQ22" s="119"/>
      <c r="AR22" s="103">
        <f t="shared" si="21"/>
        <v>7</v>
      </c>
      <c r="AT22" s="38" t="str">
        <f t="shared" si="17"/>
        <v>W13</v>
      </c>
      <c r="AU22" s="38">
        <f t="shared" si="18"/>
        <v>0</v>
      </c>
      <c r="AY22" s="38" t="str">
        <f t="shared" si="1"/>
        <v>B10</v>
      </c>
      <c r="AZ22" s="38" t="str">
        <f t="shared" si="2"/>
        <v>0</v>
      </c>
      <c r="BA22" s="38" t="str">
        <f t="shared" si="3"/>
        <v>1</v>
      </c>
      <c r="BB22" s="38" t="str">
        <f t="shared" si="4"/>
        <v>0</v>
      </c>
      <c r="BC22" s="38">
        <f t="shared" si="5"/>
        <v>1</v>
      </c>
      <c r="BD22" s="38">
        <f t="shared" si="6"/>
        <v>0</v>
      </c>
      <c r="BL22" s="38" t="str">
        <f t="shared" si="7"/>
        <v/>
      </c>
      <c r="BM22" s="38" t="str">
        <f t="shared" si="8"/>
        <v>dBX</v>
      </c>
      <c r="BN22" s="38" t="str">
        <f t="shared" si="9"/>
        <v/>
      </c>
      <c r="BO22" s="38" t="str">
        <f t="shared" si="10"/>
        <v/>
      </c>
      <c r="BP22" s="38" t="str">
        <f t="shared" si="11"/>
        <v/>
      </c>
      <c r="BQ22" s="38" t="str">
        <f t="shared" si="12"/>
        <v>dBX</v>
      </c>
    </row>
    <row r="23" spans="1:69" ht="15.6" x14ac:dyDescent="0.3">
      <c r="A23" s="125"/>
      <c r="B23" s="397" t="str">
        <f>IF(ISBLANK(HLOOKUP($F$10,spelerslijsten!$B$1:$J$22,22,FALSE)),"",HLOOKUP($F$10,spelerslijsten!$B$1:$J$22,22,FALSE))</f>
        <v/>
      </c>
      <c r="C23" s="398"/>
      <c r="D23" s="126"/>
      <c r="E23" s="259" t="str">
        <f>IF(ISBLANK(HLOOKUP($F$10,spelerslijsten!$B$1:$J$22,21,FALSE)),"",HLOOKUP($F$10,spelerslijsten!$B$1:$J$22,21,FALSE))</f>
        <v/>
      </c>
      <c r="F23" s="126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08">
        <f t="shared" si="22"/>
        <v>0</v>
      </c>
      <c r="W23" s="109" t="str">
        <f t="shared" si="13"/>
        <v/>
      </c>
      <c r="X23" s="110" t="str">
        <f t="shared" si="14"/>
        <v/>
      </c>
      <c r="Y23" s="103" t="str">
        <f t="shared" si="15"/>
        <v/>
      </c>
      <c r="Z23" s="111">
        <v>1</v>
      </c>
      <c r="AA23" s="112">
        <v>2</v>
      </c>
      <c r="AB23" s="113" t="str">
        <f t="shared" si="16"/>
        <v>-</v>
      </c>
      <c r="AC23" s="112">
        <v>0</v>
      </c>
      <c r="AD23" s="114">
        <v>3</v>
      </c>
      <c r="AE23" s="115"/>
      <c r="AF23" s="115"/>
      <c r="AG23" s="116" t="s">
        <v>265</v>
      </c>
      <c r="AH23" s="117"/>
      <c r="AI23" s="117"/>
      <c r="AJ23" s="342" t="s">
        <v>18</v>
      </c>
      <c r="AK23" s="343"/>
      <c r="AL23" s="346">
        <v>10</v>
      </c>
      <c r="AM23" s="347"/>
      <c r="AN23" s="118"/>
      <c r="AO23" s="101">
        <f t="shared" si="19"/>
        <v>3</v>
      </c>
      <c r="AP23" s="113" t="str">
        <f t="shared" si="20"/>
        <v>-</v>
      </c>
      <c r="AQ23" s="119"/>
      <c r="AR23" s="103">
        <f t="shared" si="21"/>
        <v>8</v>
      </c>
      <c r="AT23" s="38" t="str">
        <f t="shared" si="17"/>
        <v>W</v>
      </c>
      <c r="AU23" s="38">
        <f t="shared" si="18"/>
        <v>0</v>
      </c>
      <c r="AY23" s="38" t="str">
        <f t="shared" si="1"/>
        <v>B10</v>
      </c>
      <c r="AZ23" s="38" t="str">
        <f t="shared" si="2"/>
        <v>0</v>
      </c>
      <c r="BA23" s="38" t="str">
        <f t="shared" si="3"/>
        <v>1</v>
      </c>
      <c r="BB23" s="38" t="str">
        <f t="shared" si="4"/>
        <v>0</v>
      </c>
      <c r="BC23" s="38">
        <f t="shared" si="5"/>
        <v>1</v>
      </c>
      <c r="BD23" s="38">
        <f t="shared" si="6"/>
        <v>0</v>
      </c>
      <c r="BL23" s="38" t="str">
        <f t="shared" si="7"/>
        <v/>
      </c>
      <c r="BM23" s="38" t="str">
        <f t="shared" si="8"/>
        <v>dBX</v>
      </c>
      <c r="BN23" s="38" t="str">
        <f t="shared" si="9"/>
        <v/>
      </c>
      <c r="BO23" s="38" t="str">
        <f t="shared" si="10"/>
        <v/>
      </c>
      <c r="BP23" s="38" t="str">
        <f t="shared" si="11"/>
        <v/>
      </c>
      <c r="BQ23" s="38" t="str">
        <f t="shared" si="12"/>
        <v>dBX</v>
      </c>
    </row>
    <row r="24" spans="1:69" ht="16.2" thickBot="1" x14ac:dyDescent="0.35">
      <c r="A24" s="71" t="s">
        <v>67</v>
      </c>
      <c r="B24" s="72"/>
      <c r="C24" s="72"/>
      <c r="D24" s="72"/>
      <c r="E24" s="72"/>
      <c r="F24" s="72"/>
      <c r="G24" s="72"/>
      <c r="I24" s="399">
        <f>HLOOKUP(F10,spelerslijsten!B1:J25,25,FALSE)</f>
        <v>0</v>
      </c>
      <c r="J24" s="400"/>
      <c r="K24" s="74" t="s">
        <v>23</v>
      </c>
      <c r="L24" s="72"/>
      <c r="M24" s="72"/>
      <c r="N24" s="129" t="str">
        <f>HLOOKUP(F10,spelerslijsten!B1:J25,23,FALSE)</f>
        <v>Eric Gabriel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30"/>
      <c r="Z24" s="131"/>
      <c r="AA24" s="132"/>
      <c r="AB24" s="133" t="str">
        <f t="shared" si="16"/>
        <v>-</v>
      </c>
      <c r="AC24" s="132"/>
      <c r="AD24" s="134"/>
      <c r="AE24" s="135"/>
      <c r="AF24" s="135"/>
      <c r="AG24" s="136"/>
      <c r="AH24" s="137"/>
      <c r="AI24" s="137"/>
      <c r="AJ24" s="342"/>
      <c r="AK24" s="343"/>
      <c r="AL24" s="350"/>
      <c r="AM24" s="351"/>
      <c r="AN24" s="138"/>
      <c r="AO24" s="101" t="str">
        <f t="shared" si="19"/>
        <v/>
      </c>
      <c r="AP24" s="113" t="str">
        <f t="shared" si="20"/>
        <v>-</v>
      </c>
      <c r="AQ24" s="119"/>
      <c r="AR24" s="103" t="str">
        <f t="shared" si="21"/>
        <v/>
      </c>
      <c r="AY24" s="38" t="str">
        <f t="shared" si="1"/>
        <v/>
      </c>
      <c r="AZ24" s="38" t="str">
        <f t="shared" si="2"/>
        <v>0</v>
      </c>
      <c r="BA24" s="38" t="str">
        <f t="shared" si="3"/>
        <v>0</v>
      </c>
      <c r="BB24" s="38" t="str">
        <f t="shared" si="4"/>
        <v>0</v>
      </c>
      <c r="BC24" s="38">
        <f t="shared" si="5"/>
        <v>0</v>
      </c>
      <c r="BD24" s="38">
        <f t="shared" si="6"/>
        <v>0</v>
      </c>
      <c r="BL24" s="38" t="str">
        <f t="shared" si="7"/>
        <v/>
      </c>
      <c r="BM24" s="38" t="str">
        <f t="shared" si="8"/>
        <v/>
      </c>
      <c r="BN24" s="38" t="str">
        <f t="shared" si="9"/>
        <v/>
      </c>
      <c r="BO24" s="38" t="str">
        <f t="shared" si="10"/>
        <v/>
      </c>
      <c r="BP24" s="38" t="str">
        <f t="shared" si="11"/>
        <v/>
      </c>
      <c r="BQ24" s="38" t="str">
        <f t="shared" si="12"/>
        <v/>
      </c>
    </row>
    <row r="25" spans="1:69" ht="15" customHeight="1" x14ac:dyDescent="0.3">
      <c r="A25" s="78" t="s">
        <v>60</v>
      </c>
      <c r="B25" s="79"/>
      <c r="C25" s="79"/>
      <c r="D25" s="79"/>
      <c r="E25" s="79"/>
      <c r="F25" s="356" t="str">
        <f>+AC7</f>
        <v>VZ&amp;PC Nautilus 2</v>
      </c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7"/>
      <c r="Z25" s="139"/>
      <c r="AA25" s="140"/>
      <c r="AB25" s="141" t="str">
        <f t="shared" si="16"/>
        <v>-</v>
      </c>
      <c r="AC25" s="140"/>
      <c r="AD25" s="142"/>
      <c r="AE25" s="143"/>
      <c r="AF25" s="143"/>
      <c r="AG25" s="144"/>
      <c r="AH25" s="145"/>
      <c r="AI25" s="145"/>
      <c r="AJ25" s="342"/>
      <c r="AK25" s="343"/>
      <c r="AL25" s="346"/>
      <c r="AM25" s="347"/>
      <c r="AN25" s="146"/>
      <c r="AO25" s="101" t="str">
        <f t="shared" si="19"/>
        <v/>
      </c>
      <c r="AP25" s="113" t="str">
        <f t="shared" si="20"/>
        <v>-</v>
      </c>
      <c r="AQ25" s="119"/>
      <c r="AR25" s="103" t="str">
        <f t="shared" si="21"/>
        <v/>
      </c>
      <c r="AY25" s="38" t="str">
        <f t="shared" si="1"/>
        <v/>
      </c>
      <c r="AZ25" s="38" t="str">
        <f t="shared" si="2"/>
        <v>0</v>
      </c>
      <c r="BA25" s="38" t="str">
        <f t="shared" si="3"/>
        <v>0</v>
      </c>
      <c r="BB25" s="38" t="str">
        <f t="shared" si="4"/>
        <v>0</v>
      </c>
      <c r="BC25" s="38">
        <f t="shared" si="5"/>
        <v>0</v>
      </c>
      <c r="BD25" s="38">
        <f t="shared" si="6"/>
        <v>0</v>
      </c>
      <c r="BL25" s="38" t="str">
        <f t="shared" si="7"/>
        <v/>
      </c>
      <c r="BM25" s="38" t="str">
        <f t="shared" si="8"/>
        <v/>
      </c>
      <c r="BN25" s="38" t="str">
        <f t="shared" si="9"/>
        <v/>
      </c>
      <c r="BO25" s="38" t="str">
        <f t="shared" si="10"/>
        <v/>
      </c>
      <c r="BP25" s="38" t="str">
        <f t="shared" si="11"/>
        <v/>
      </c>
      <c r="BQ25" s="38" t="str">
        <f t="shared" si="12"/>
        <v/>
      </c>
    </row>
    <row r="26" spans="1:69" ht="15" customHeight="1" x14ac:dyDescent="0.3">
      <c r="A26" s="393" t="s">
        <v>24</v>
      </c>
      <c r="B26" s="394"/>
      <c r="C26" s="394"/>
      <c r="D26" s="394"/>
      <c r="E26" s="81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9"/>
      <c r="Z26" s="139"/>
      <c r="AA26" s="140"/>
      <c r="AB26" s="141" t="s">
        <v>16</v>
      </c>
      <c r="AC26" s="140"/>
      <c r="AD26" s="142"/>
      <c r="AE26" s="143"/>
      <c r="AF26" s="143"/>
      <c r="AG26" s="144"/>
      <c r="AH26" s="145"/>
      <c r="AI26" s="145"/>
      <c r="AJ26" s="342"/>
      <c r="AK26" s="343"/>
      <c r="AL26" s="346"/>
      <c r="AM26" s="347"/>
      <c r="AN26" s="146"/>
      <c r="AO26" s="101" t="str">
        <f t="shared" si="19"/>
        <v/>
      </c>
      <c r="AP26" s="113" t="str">
        <f t="shared" si="20"/>
        <v>-</v>
      </c>
      <c r="AQ26" s="119"/>
      <c r="AR26" s="103" t="str">
        <f t="shared" si="21"/>
        <v/>
      </c>
      <c r="AY26" s="38" t="str">
        <f t="shared" si="1"/>
        <v/>
      </c>
      <c r="AZ26" s="38" t="str">
        <f t="shared" si="2"/>
        <v>0</v>
      </c>
      <c r="BA26" s="38" t="str">
        <f t="shared" si="3"/>
        <v>0</v>
      </c>
      <c r="BB26" s="38" t="str">
        <f t="shared" si="4"/>
        <v>0</v>
      </c>
      <c r="BC26" s="38">
        <f t="shared" si="5"/>
        <v>0</v>
      </c>
      <c r="BD26" s="38">
        <f t="shared" si="6"/>
        <v>0</v>
      </c>
      <c r="BL26" s="38" t="str">
        <f t="shared" si="7"/>
        <v/>
      </c>
      <c r="BM26" s="38" t="str">
        <f t="shared" si="8"/>
        <v/>
      </c>
      <c r="BN26" s="38" t="str">
        <f t="shared" si="9"/>
        <v/>
      </c>
      <c r="BO26" s="38" t="str">
        <f t="shared" si="10"/>
        <v/>
      </c>
      <c r="BP26" s="38" t="str">
        <f t="shared" si="11"/>
        <v/>
      </c>
      <c r="BQ26" s="38" t="str">
        <f t="shared" si="12"/>
        <v/>
      </c>
    </row>
    <row r="27" spans="1:69" ht="15.6" x14ac:dyDescent="0.3">
      <c r="A27" s="393"/>
      <c r="B27" s="394"/>
      <c r="C27" s="394"/>
      <c r="D27" s="394"/>
      <c r="E27" s="81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9"/>
      <c r="Z27" s="139"/>
      <c r="AA27" s="140"/>
      <c r="AB27" s="141" t="s">
        <v>16</v>
      </c>
      <c r="AC27" s="140"/>
      <c r="AD27" s="142"/>
      <c r="AE27" s="143"/>
      <c r="AF27" s="143"/>
      <c r="AG27" s="144"/>
      <c r="AH27" s="145"/>
      <c r="AI27" s="145"/>
      <c r="AJ27" s="342"/>
      <c r="AK27" s="343"/>
      <c r="AL27" s="346"/>
      <c r="AM27" s="347"/>
      <c r="AN27" s="146"/>
      <c r="AO27" s="101" t="str">
        <f t="shared" si="19"/>
        <v/>
      </c>
      <c r="AP27" s="113" t="str">
        <f t="shared" si="20"/>
        <v>-</v>
      </c>
      <c r="AQ27" s="119"/>
      <c r="AR27" s="103" t="str">
        <f t="shared" si="21"/>
        <v/>
      </c>
      <c r="AY27" s="38" t="str">
        <f t="shared" si="1"/>
        <v/>
      </c>
      <c r="AZ27" s="38" t="str">
        <f t="shared" si="2"/>
        <v>0</v>
      </c>
      <c r="BA27" s="38" t="str">
        <f t="shared" si="3"/>
        <v>0</v>
      </c>
      <c r="BB27" s="38" t="str">
        <f t="shared" si="4"/>
        <v>0</v>
      </c>
      <c r="BC27" s="38">
        <f t="shared" si="5"/>
        <v>0</v>
      </c>
      <c r="BD27" s="38">
        <f t="shared" si="6"/>
        <v>0</v>
      </c>
      <c r="BL27" s="38" t="str">
        <f t="shared" si="7"/>
        <v/>
      </c>
      <c r="BM27" s="38" t="str">
        <f t="shared" si="8"/>
        <v/>
      </c>
      <c r="BN27" s="38" t="str">
        <f t="shared" si="9"/>
        <v/>
      </c>
      <c r="BO27" s="38" t="str">
        <f t="shared" si="10"/>
        <v/>
      </c>
      <c r="BP27" s="38" t="str">
        <f t="shared" si="11"/>
        <v/>
      </c>
      <c r="BQ27" s="38" t="str">
        <f t="shared" si="12"/>
        <v/>
      </c>
    </row>
    <row r="28" spans="1:69" ht="15.6" x14ac:dyDescent="0.3">
      <c r="A28" s="395"/>
      <c r="B28" s="396"/>
      <c r="C28" s="396"/>
      <c r="D28" s="396"/>
      <c r="E28" s="81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1"/>
      <c r="Z28" s="147"/>
      <c r="AA28" s="140"/>
      <c r="AB28" s="148" t="str">
        <f>+AB25</f>
        <v>-</v>
      </c>
      <c r="AC28" s="140"/>
      <c r="AD28" s="142"/>
      <c r="AE28" s="143"/>
      <c r="AF28" s="143"/>
      <c r="AG28" s="144"/>
      <c r="AH28" s="145"/>
      <c r="AI28" s="145"/>
      <c r="AJ28" s="342"/>
      <c r="AK28" s="343"/>
      <c r="AL28" s="346"/>
      <c r="AM28" s="347"/>
      <c r="AN28" s="146"/>
      <c r="AO28" s="101" t="str">
        <f t="shared" si="19"/>
        <v/>
      </c>
      <c r="AP28" s="113" t="str">
        <f t="shared" si="20"/>
        <v>-</v>
      </c>
      <c r="AQ28" s="119"/>
      <c r="AR28" s="103" t="str">
        <f t="shared" si="21"/>
        <v/>
      </c>
      <c r="AY28" s="38" t="str">
        <f t="shared" si="1"/>
        <v/>
      </c>
      <c r="AZ28" s="38" t="str">
        <f t="shared" si="2"/>
        <v>0</v>
      </c>
      <c r="BA28" s="38" t="str">
        <f t="shared" si="3"/>
        <v>0</v>
      </c>
      <c r="BB28" s="38" t="str">
        <f t="shared" si="4"/>
        <v>0</v>
      </c>
      <c r="BC28" s="38">
        <f t="shared" si="5"/>
        <v>0</v>
      </c>
      <c r="BD28" s="38">
        <f t="shared" si="6"/>
        <v>0</v>
      </c>
      <c r="BL28" s="38" t="str">
        <f t="shared" si="7"/>
        <v/>
      </c>
      <c r="BM28" s="38" t="str">
        <f t="shared" si="8"/>
        <v/>
      </c>
      <c r="BN28" s="38" t="str">
        <f t="shared" si="9"/>
        <v/>
      </c>
      <c r="BO28" s="38" t="str">
        <f t="shared" si="10"/>
        <v/>
      </c>
      <c r="BP28" s="38" t="str">
        <f t="shared" si="11"/>
        <v/>
      </c>
      <c r="BQ28" s="38" t="str">
        <f t="shared" si="12"/>
        <v/>
      </c>
    </row>
    <row r="29" spans="1:69" ht="15.6" x14ac:dyDescent="0.3">
      <c r="A29" s="86" t="s">
        <v>0</v>
      </c>
      <c r="B29" s="87" t="s">
        <v>1</v>
      </c>
      <c r="C29" s="64"/>
      <c r="D29" s="89"/>
      <c r="E29" s="88" t="s">
        <v>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90"/>
      <c r="V29" s="91" t="s">
        <v>3</v>
      </c>
      <c r="W29" s="91" t="s">
        <v>4</v>
      </c>
      <c r="X29" s="91" t="s">
        <v>5</v>
      </c>
      <c r="Y29" s="92" t="s">
        <v>6</v>
      </c>
      <c r="Z29" s="111"/>
      <c r="AA29" s="149"/>
      <c r="AB29" s="150" t="str">
        <f t="shared" si="16"/>
        <v>-</v>
      </c>
      <c r="AC29" s="149"/>
      <c r="AD29" s="151"/>
      <c r="AE29" s="152"/>
      <c r="AF29" s="152"/>
      <c r="AG29" s="153"/>
      <c r="AH29" s="154"/>
      <c r="AI29" s="154"/>
      <c r="AJ29" s="342"/>
      <c r="AK29" s="343"/>
      <c r="AL29" s="348"/>
      <c r="AM29" s="349"/>
      <c r="AN29" s="155"/>
      <c r="AO29" s="101" t="str">
        <f t="shared" si="19"/>
        <v/>
      </c>
      <c r="AP29" s="113" t="str">
        <f t="shared" si="20"/>
        <v>-</v>
      </c>
      <c r="AQ29" s="119"/>
      <c r="AR29" s="103" t="str">
        <f t="shared" si="21"/>
        <v/>
      </c>
      <c r="AY29" s="38" t="str">
        <f t="shared" si="1"/>
        <v/>
      </c>
      <c r="AZ29" s="38" t="str">
        <f t="shared" si="2"/>
        <v>0</v>
      </c>
      <c r="BA29" s="38" t="str">
        <f t="shared" si="3"/>
        <v>0</v>
      </c>
      <c r="BB29" s="38" t="str">
        <f t="shared" si="4"/>
        <v>0</v>
      </c>
      <c r="BC29" s="38">
        <f t="shared" si="5"/>
        <v>0</v>
      </c>
      <c r="BD29" s="38">
        <f t="shared" si="6"/>
        <v>0</v>
      </c>
      <c r="BL29" s="38" t="str">
        <f t="shared" si="7"/>
        <v/>
      </c>
      <c r="BM29" s="38" t="str">
        <f t="shared" si="8"/>
        <v/>
      </c>
      <c r="BN29" s="38" t="str">
        <f t="shared" si="9"/>
        <v/>
      </c>
      <c r="BO29" s="38" t="str">
        <f t="shared" si="10"/>
        <v/>
      </c>
      <c r="BP29" s="38" t="str">
        <f t="shared" si="11"/>
        <v/>
      </c>
      <c r="BQ29" s="38" t="str">
        <f t="shared" si="12"/>
        <v/>
      </c>
    </row>
    <row r="30" spans="1:69" ht="15.6" x14ac:dyDescent="0.3">
      <c r="A30" s="104" t="s">
        <v>265</v>
      </c>
      <c r="B30" s="397">
        <f>IF(ISBLANK(HLOOKUP($F$25,spelerslijsten!$B$1:$J$22,4,FALSE)),"",HLOOKUP($F$25,spelerslijsten!$B$1:$J$22,4,FALSE))</f>
        <v>2</v>
      </c>
      <c r="C30" s="398"/>
      <c r="D30" s="105"/>
      <c r="E30" s="106" t="str">
        <f>IF(ISBLANK(HLOOKUP($F$25,spelerslijsten!$B$1:$J$22,3,FALSE)),"",HLOOKUP($F$25,spelerslijsten!$B$1:$J$22,3,FALSE))</f>
        <v>Willy van Grunsven</v>
      </c>
      <c r="F30" s="105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8">
        <f t="shared" ref="V30:V39" si="23">SUMIF($AY$13:$AY$46,AT30,$BC$13:$BC$46)</f>
        <v>0</v>
      </c>
      <c r="W30" s="109" t="str">
        <f>IF(AU30&gt;0,"x","")</f>
        <v/>
      </c>
      <c r="X30" s="110" t="str">
        <f>IF(AU30&gt;1,"x","")</f>
        <v/>
      </c>
      <c r="Y30" s="103" t="str">
        <f>IF(AU30&gt;2,"x","")</f>
        <v/>
      </c>
      <c r="Z30" s="111"/>
      <c r="AA30" s="112"/>
      <c r="AB30" s="113" t="str">
        <f t="shared" si="16"/>
        <v>-</v>
      </c>
      <c r="AC30" s="112"/>
      <c r="AD30" s="114"/>
      <c r="AE30" s="115"/>
      <c r="AF30" s="115"/>
      <c r="AG30" s="116"/>
      <c r="AH30" s="117"/>
      <c r="AI30" s="117"/>
      <c r="AJ30" s="342"/>
      <c r="AK30" s="343"/>
      <c r="AL30" s="346"/>
      <c r="AM30" s="347"/>
      <c r="AN30" s="118"/>
      <c r="AO30" s="101" t="str">
        <f t="shared" si="19"/>
        <v/>
      </c>
      <c r="AP30" s="113" t="str">
        <f t="shared" si="20"/>
        <v>-</v>
      </c>
      <c r="AQ30" s="119"/>
      <c r="AR30" s="103" t="str">
        <f t="shared" si="21"/>
        <v/>
      </c>
      <c r="AT30" s="38" t="str">
        <f>CONCATENATE($AV$11&amp;B30)</f>
        <v>B2</v>
      </c>
      <c r="AU30" s="38">
        <f t="shared" si="18"/>
        <v>0</v>
      </c>
      <c r="AY30" s="38" t="str">
        <f t="shared" si="1"/>
        <v/>
      </c>
      <c r="AZ30" s="38" t="str">
        <f t="shared" si="2"/>
        <v>0</v>
      </c>
      <c r="BA30" s="38" t="str">
        <f t="shared" si="3"/>
        <v>0</v>
      </c>
      <c r="BB30" s="38" t="str">
        <f t="shared" si="4"/>
        <v>0</v>
      </c>
      <c r="BC30" s="38">
        <f t="shared" si="5"/>
        <v>0</v>
      </c>
      <c r="BD30" s="38">
        <f t="shared" si="6"/>
        <v>0</v>
      </c>
      <c r="BL30" s="38" t="str">
        <f t="shared" si="7"/>
        <v/>
      </c>
      <c r="BM30" s="38" t="str">
        <f t="shared" si="8"/>
        <v/>
      </c>
      <c r="BN30" s="38" t="str">
        <f t="shared" si="9"/>
        <v/>
      </c>
      <c r="BO30" s="38" t="str">
        <f t="shared" si="10"/>
        <v/>
      </c>
      <c r="BP30" s="38" t="str">
        <f t="shared" si="11"/>
        <v/>
      </c>
      <c r="BQ30" s="38" t="str">
        <f t="shared" si="12"/>
        <v/>
      </c>
    </row>
    <row r="31" spans="1:69" ht="15.6" x14ac:dyDescent="0.3">
      <c r="A31" s="120" t="s">
        <v>265</v>
      </c>
      <c r="B31" s="397">
        <f>IF(ISBLANK(HLOOKUP($F$25,spelerslijsten!$B$1:$J$22,6,FALSE)),"",HLOOKUP($F$25,spelerslijsten!$B$1:$J$22,6,FALSE))</f>
        <v>3</v>
      </c>
      <c r="C31" s="398"/>
      <c r="D31" s="121"/>
      <c r="E31" s="122" t="str">
        <f>IF(ISBLANK(HLOOKUP($F$25,spelerslijsten!$B$1:$J$22,5,FALSE)),"",HLOOKUP($F$25,spelerslijsten!$B$1:$J$22,5,FALSE))</f>
        <v>Manuel Bastiaans</v>
      </c>
      <c r="F31" s="12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08">
        <f t="shared" si="23"/>
        <v>1</v>
      </c>
      <c r="W31" s="109" t="str">
        <f t="shared" ref="W31:W39" si="24">IF(AU31&gt;0,"x","")</f>
        <v/>
      </c>
      <c r="X31" s="110" t="str">
        <f t="shared" ref="X31:X39" si="25">IF(AU31&gt;1,"x","")</f>
        <v/>
      </c>
      <c r="Y31" s="103" t="str">
        <f t="shared" ref="Y31:Y39" si="26">IF(AU31&gt;2,"x","")</f>
        <v/>
      </c>
      <c r="Z31" s="111"/>
      <c r="AA31" s="112"/>
      <c r="AB31" s="113" t="str">
        <f t="shared" si="16"/>
        <v>-</v>
      </c>
      <c r="AC31" s="112"/>
      <c r="AD31" s="114"/>
      <c r="AE31" s="115"/>
      <c r="AF31" s="115"/>
      <c r="AG31" s="116"/>
      <c r="AH31" s="117"/>
      <c r="AI31" s="117"/>
      <c r="AJ31" s="342"/>
      <c r="AK31" s="343"/>
      <c r="AL31" s="346"/>
      <c r="AM31" s="347"/>
      <c r="AN31" s="118"/>
      <c r="AO31" s="101" t="str">
        <f t="shared" si="19"/>
        <v/>
      </c>
      <c r="AP31" s="113" t="str">
        <f t="shared" si="20"/>
        <v>-</v>
      </c>
      <c r="AQ31" s="119"/>
      <c r="AR31" s="103" t="str">
        <f t="shared" si="21"/>
        <v/>
      </c>
      <c r="AT31" s="38" t="str">
        <f t="shared" ref="AT31:AT39" si="27">CONCATENATE($AV$11&amp;B31)</f>
        <v>B3</v>
      </c>
      <c r="AU31" s="38">
        <f t="shared" si="18"/>
        <v>0</v>
      </c>
      <c r="AY31" s="38" t="str">
        <f t="shared" si="1"/>
        <v/>
      </c>
      <c r="AZ31" s="38" t="str">
        <f t="shared" si="2"/>
        <v>0</v>
      </c>
      <c r="BA31" s="38" t="str">
        <f t="shared" si="3"/>
        <v>0</v>
      </c>
      <c r="BB31" s="38" t="str">
        <f t="shared" si="4"/>
        <v>0</v>
      </c>
      <c r="BC31" s="38">
        <f t="shared" si="5"/>
        <v>0</v>
      </c>
      <c r="BD31" s="38">
        <f t="shared" si="6"/>
        <v>0</v>
      </c>
      <c r="BL31" s="38" t="str">
        <f t="shared" si="7"/>
        <v/>
      </c>
      <c r="BM31" s="38" t="str">
        <f t="shared" si="8"/>
        <v/>
      </c>
      <c r="BN31" s="38" t="str">
        <f t="shared" si="9"/>
        <v/>
      </c>
      <c r="BO31" s="38" t="str">
        <f t="shared" si="10"/>
        <v/>
      </c>
      <c r="BP31" s="38" t="str">
        <f t="shared" si="11"/>
        <v/>
      </c>
      <c r="BQ31" s="38" t="str">
        <f t="shared" si="12"/>
        <v/>
      </c>
    </row>
    <row r="32" spans="1:69" ht="15.6" x14ac:dyDescent="0.3">
      <c r="A32" s="124" t="s">
        <v>265</v>
      </c>
      <c r="B32" s="397">
        <f>IF(ISBLANK(HLOOKUP($F$25,spelerslijsten!$B$1:$J$22,8,FALSE)),"",HLOOKUP($F$25,spelerslijsten!$B$1:$J$22,8,FALSE))</f>
        <v>4</v>
      </c>
      <c r="C32" s="398"/>
      <c r="D32" s="121"/>
      <c r="E32" s="122" t="str">
        <f>IF(ISBLANK(HLOOKUP($F$25,spelerslijsten!$B$1:$J$22,7,FALSE)),"",HLOOKUP($F$25,spelerslijsten!$B$1:$J$22,7,FALSE))</f>
        <v>Marga Schouten</v>
      </c>
      <c r="F32" s="12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08">
        <f t="shared" si="23"/>
        <v>1</v>
      </c>
      <c r="W32" s="109" t="str">
        <f t="shared" si="24"/>
        <v/>
      </c>
      <c r="X32" s="110" t="str">
        <f t="shared" si="25"/>
        <v/>
      </c>
      <c r="Y32" s="103" t="str">
        <f t="shared" si="26"/>
        <v/>
      </c>
      <c r="Z32" s="111"/>
      <c r="AA32" s="112"/>
      <c r="AB32" s="113" t="str">
        <f t="shared" si="16"/>
        <v>-</v>
      </c>
      <c r="AC32" s="112"/>
      <c r="AD32" s="114"/>
      <c r="AE32" s="115"/>
      <c r="AF32" s="115"/>
      <c r="AG32" s="116"/>
      <c r="AH32" s="117"/>
      <c r="AI32" s="117"/>
      <c r="AJ32" s="342"/>
      <c r="AK32" s="343"/>
      <c r="AL32" s="346"/>
      <c r="AM32" s="347"/>
      <c r="AN32" s="118"/>
      <c r="AO32" s="101" t="str">
        <f t="shared" si="19"/>
        <v/>
      </c>
      <c r="AP32" s="113" t="str">
        <f t="shared" si="20"/>
        <v>-</v>
      </c>
      <c r="AQ32" s="119"/>
      <c r="AR32" s="103" t="str">
        <f t="shared" si="21"/>
        <v/>
      </c>
      <c r="AT32" s="38" t="str">
        <f t="shared" si="27"/>
        <v>B4</v>
      </c>
      <c r="AU32" s="38">
        <f t="shared" si="18"/>
        <v>0</v>
      </c>
      <c r="AY32" s="38" t="str">
        <f t="shared" si="1"/>
        <v/>
      </c>
      <c r="AZ32" s="38" t="str">
        <f t="shared" si="2"/>
        <v>0</v>
      </c>
      <c r="BA32" s="38" t="str">
        <f t="shared" si="3"/>
        <v>0</v>
      </c>
      <c r="BB32" s="38" t="str">
        <f t="shared" si="4"/>
        <v>0</v>
      </c>
      <c r="BC32" s="38">
        <f t="shared" si="5"/>
        <v>0</v>
      </c>
      <c r="BD32" s="38">
        <f t="shared" si="6"/>
        <v>0</v>
      </c>
      <c r="BL32" s="38" t="str">
        <f t="shared" si="7"/>
        <v/>
      </c>
      <c r="BM32" s="38" t="str">
        <f t="shared" si="8"/>
        <v/>
      </c>
      <c r="BN32" s="38" t="str">
        <f t="shared" si="9"/>
        <v/>
      </c>
      <c r="BO32" s="38" t="str">
        <f t="shared" si="10"/>
        <v/>
      </c>
      <c r="BP32" s="38" t="str">
        <f t="shared" si="11"/>
        <v/>
      </c>
      <c r="BQ32" s="38" t="str">
        <f t="shared" si="12"/>
        <v/>
      </c>
    </row>
    <row r="33" spans="1:69" ht="15.6" x14ac:dyDescent="0.3">
      <c r="A33" s="124" t="s">
        <v>265</v>
      </c>
      <c r="B33" s="397">
        <f>IF(ISBLANK(HLOOKUP($F$25,spelerslijsten!$B$1:$J$22,10,FALSE)),"",HLOOKUP($F$25,spelerslijsten!$B$1:$J$22,10,FALSE))</f>
        <v>6</v>
      </c>
      <c r="C33" s="398"/>
      <c r="D33" s="121"/>
      <c r="E33" s="122" t="str">
        <f>IF(ISBLANK(HLOOKUP($F$25,spelerslijsten!$B$1:$J$22,9,FALSE)),"",HLOOKUP($F$25,spelerslijsten!$B$1:$J$22,9,FALSE))</f>
        <v>Anja Braken</v>
      </c>
      <c r="F33" s="12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08">
        <f t="shared" si="23"/>
        <v>0</v>
      </c>
      <c r="W33" s="109" t="str">
        <f t="shared" si="24"/>
        <v/>
      </c>
      <c r="X33" s="110" t="str">
        <f t="shared" si="25"/>
        <v/>
      </c>
      <c r="Y33" s="103" t="str">
        <f t="shared" si="26"/>
        <v/>
      </c>
      <c r="Z33" s="111"/>
      <c r="AA33" s="112"/>
      <c r="AB33" s="113" t="str">
        <f t="shared" si="16"/>
        <v>-</v>
      </c>
      <c r="AC33" s="112"/>
      <c r="AD33" s="114"/>
      <c r="AE33" s="115"/>
      <c r="AF33" s="115"/>
      <c r="AG33" s="116"/>
      <c r="AH33" s="117"/>
      <c r="AI33" s="117"/>
      <c r="AJ33" s="342"/>
      <c r="AK33" s="343"/>
      <c r="AL33" s="346"/>
      <c r="AM33" s="347"/>
      <c r="AN33" s="118"/>
      <c r="AO33" s="101" t="str">
        <f t="shared" si="19"/>
        <v/>
      </c>
      <c r="AP33" s="113" t="str">
        <f t="shared" si="20"/>
        <v>-</v>
      </c>
      <c r="AQ33" s="119"/>
      <c r="AR33" s="103" t="str">
        <f t="shared" si="21"/>
        <v/>
      </c>
      <c r="AT33" s="38" t="str">
        <f t="shared" si="27"/>
        <v>B6</v>
      </c>
      <c r="AU33" s="38">
        <f t="shared" si="18"/>
        <v>0</v>
      </c>
      <c r="AY33" s="38" t="str">
        <f t="shared" si="1"/>
        <v/>
      </c>
      <c r="AZ33" s="38" t="str">
        <f t="shared" si="2"/>
        <v>0</v>
      </c>
      <c r="BA33" s="38" t="str">
        <f t="shared" si="3"/>
        <v>0</v>
      </c>
      <c r="BB33" s="38" t="str">
        <f t="shared" si="4"/>
        <v>0</v>
      </c>
      <c r="BC33" s="38">
        <f t="shared" si="5"/>
        <v>0</v>
      </c>
      <c r="BD33" s="38">
        <f t="shared" si="6"/>
        <v>0</v>
      </c>
      <c r="BL33" s="38" t="str">
        <f t="shared" si="7"/>
        <v/>
      </c>
      <c r="BM33" s="38" t="str">
        <f t="shared" si="8"/>
        <v/>
      </c>
      <c r="BN33" s="38" t="str">
        <f t="shared" si="9"/>
        <v/>
      </c>
      <c r="BO33" s="38" t="str">
        <f t="shared" si="10"/>
        <v/>
      </c>
      <c r="BP33" s="38" t="str">
        <f t="shared" si="11"/>
        <v/>
      </c>
      <c r="BQ33" s="38" t="str">
        <f t="shared" si="12"/>
        <v/>
      </c>
    </row>
    <row r="34" spans="1:69" ht="15.6" x14ac:dyDescent="0.3">
      <c r="A34" s="124" t="s">
        <v>265</v>
      </c>
      <c r="B34" s="397">
        <f>IF(ISBLANK(HLOOKUP($F$25,spelerslijsten!$B$1:$J$22,12,FALSE)),"",HLOOKUP($F$25,spelerslijsten!$B$1:$J$22,12,FALSE))</f>
        <v>7</v>
      </c>
      <c r="C34" s="398"/>
      <c r="D34" s="121"/>
      <c r="E34" s="122" t="str">
        <f>IF(ISBLANK(HLOOKUP($F$25,spelerslijsten!$B$1:$J$22,11,FALSE)),"",HLOOKUP($F$25,spelerslijsten!$B$1:$J$22,11,FALSE))</f>
        <v>Mieke van Gerwen</v>
      </c>
      <c r="F34" s="12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08">
        <f t="shared" si="23"/>
        <v>0</v>
      </c>
      <c r="W34" s="109" t="str">
        <f t="shared" si="24"/>
        <v/>
      </c>
      <c r="X34" s="110" t="str">
        <f t="shared" si="25"/>
        <v/>
      </c>
      <c r="Y34" s="103" t="str">
        <f t="shared" si="26"/>
        <v/>
      </c>
      <c r="Z34" s="111"/>
      <c r="AA34" s="112"/>
      <c r="AB34" s="113" t="str">
        <f t="shared" si="16"/>
        <v>-</v>
      </c>
      <c r="AC34" s="112"/>
      <c r="AD34" s="114"/>
      <c r="AE34" s="115"/>
      <c r="AF34" s="115"/>
      <c r="AG34" s="116"/>
      <c r="AH34" s="117"/>
      <c r="AI34" s="117"/>
      <c r="AJ34" s="342"/>
      <c r="AK34" s="343"/>
      <c r="AL34" s="346"/>
      <c r="AM34" s="347"/>
      <c r="AN34" s="118"/>
      <c r="AO34" s="101" t="str">
        <f t="shared" si="19"/>
        <v/>
      </c>
      <c r="AP34" s="113" t="str">
        <f t="shared" si="20"/>
        <v>-</v>
      </c>
      <c r="AQ34" s="119"/>
      <c r="AR34" s="103" t="str">
        <f t="shared" si="21"/>
        <v/>
      </c>
      <c r="AT34" s="38" t="str">
        <f t="shared" si="27"/>
        <v>B7</v>
      </c>
      <c r="AU34" s="38">
        <f t="shared" si="18"/>
        <v>0</v>
      </c>
      <c r="AY34" s="38" t="str">
        <f t="shared" si="1"/>
        <v/>
      </c>
      <c r="AZ34" s="38" t="str">
        <f t="shared" si="2"/>
        <v>0</v>
      </c>
      <c r="BA34" s="38" t="str">
        <f t="shared" si="3"/>
        <v>0</v>
      </c>
      <c r="BB34" s="38" t="str">
        <f t="shared" si="4"/>
        <v>0</v>
      </c>
      <c r="BC34" s="38">
        <f t="shared" si="5"/>
        <v>0</v>
      </c>
      <c r="BD34" s="38">
        <f t="shared" si="6"/>
        <v>0</v>
      </c>
      <c r="BL34" s="38" t="str">
        <f t="shared" si="7"/>
        <v/>
      </c>
      <c r="BM34" s="38" t="str">
        <f t="shared" si="8"/>
        <v/>
      </c>
      <c r="BN34" s="38" t="str">
        <f t="shared" si="9"/>
        <v/>
      </c>
      <c r="BO34" s="38" t="str">
        <f t="shared" si="10"/>
        <v/>
      </c>
      <c r="BP34" s="38" t="str">
        <f t="shared" si="11"/>
        <v/>
      </c>
      <c r="BQ34" s="38" t="str">
        <f t="shared" si="12"/>
        <v/>
      </c>
    </row>
    <row r="35" spans="1:69" ht="15.6" x14ac:dyDescent="0.3">
      <c r="A35" s="124" t="s">
        <v>265</v>
      </c>
      <c r="B35" s="397">
        <f>IF(ISBLANK(HLOOKUP($F$25,spelerslijsten!$B$1:$J$22,14,FALSE)),"",HLOOKUP($F$25,spelerslijsten!$B$1:$J$22,14,FALSE))</f>
        <v>8</v>
      </c>
      <c r="C35" s="398"/>
      <c r="D35" s="121"/>
      <c r="E35" s="122" t="str">
        <f>IF(ISBLANK(HLOOKUP($F$25,spelerslijsten!$B$1:$J$22,13,FALSE)),"",HLOOKUP($F$25,spelerslijsten!$B$1:$J$22,13,FALSE))</f>
        <v>Susan van Wanrooy</v>
      </c>
      <c r="F35" s="12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08">
        <f t="shared" si="23"/>
        <v>1</v>
      </c>
      <c r="W35" s="109" t="str">
        <f t="shared" si="24"/>
        <v/>
      </c>
      <c r="X35" s="110" t="str">
        <f t="shared" si="25"/>
        <v/>
      </c>
      <c r="Y35" s="103" t="str">
        <f t="shared" si="26"/>
        <v/>
      </c>
      <c r="Z35" s="111"/>
      <c r="AA35" s="112"/>
      <c r="AB35" s="113" t="str">
        <f t="shared" si="16"/>
        <v>-</v>
      </c>
      <c r="AC35" s="112"/>
      <c r="AD35" s="114"/>
      <c r="AE35" s="115"/>
      <c r="AF35" s="115"/>
      <c r="AG35" s="116"/>
      <c r="AH35" s="117"/>
      <c r="AI35" s="117"/>
      <c r="AJ35" s="342"/>
      <c r="AK35" s="343"/>
      <c r="AL35" s="346"/>
      <c r="AM35" s="347"/>
      <c r="AN35" s="118"/>
      <c r="AO35" s="101" t="str">
        <f t="shared" si="19"/>
        <v/>
      </c>
      <c r="AP35" s="113" t="str">
        <f t="shared" si="20"/>
        <v>-</v>
      </c>
      <c r="AQ35" s="119"/>
      <c r="AR35" s="103" t="str">
        <f t="shared" si="21"/>
        <v/>
      </c>
      <c r="AT35" s="38" t="str">
        <f t="shared" si="27"/>
        <v>B8</v>
      </c>
      <c r="AU35" s="38">
        <f t="shared" si="18"/>
        <v>0</v>
      </c>
      <c r="AY35" s="38" t="str">
        <f t="shared" si="1"/>
        <v/>
      </c>
      <c r="AZ35" s="38" t="str">
        <f t="shared" si="2"/>
        <v>0</v>
      </c>
      <c r="BA35" s="38" t="str">
        <f t="shared" si="3"/>
        <v>0</v>
      </c>
      <c r="BB35" s="38" t="str">
        <f t="shared" si="4"/>
        <v>0</v>
      </c>
      <c r="BC35" s="38">
        <f t="shared" si="5"/>
        <v>0</v>
      </c>
      <c r="BD35" s="38">
        <f t="shared" si="6"/>
        <v>0</v>
      </c>
      <c r="BL35" s="38" t="str">
        <f t="shared" si="7"/>
        <v/>
      </c>
      <c r="BM35" s="38" t="str">
        <f t="shared" si="8"/>
        <v/>
      </c>
      <c r="BN35" s="38" t="str">
        <f t="shared" si="9"/>
        <v/>
      </c>
      <c r="BO35" s="38" t="str">
        <f t="shared" si="10"/>
        <v/>
      </c>
      <c r="BP35" s="38" t="str">
        <f t="shared" si="11"/>
        <v/>
      </c>
      <c r="BQ35" s="38" t="str">
        <f t="shared" si="12"/>
        <v/>
      </c>
    </row>
    <row r="36" spans="1:69" ht="15.6" x14ac:dyDescent="0.3">
      <c r="A36" s="124" t="s">
        <v>265</v>
      </c>
      <c r="B36" s="397">
        <f>IF(ISBLANK(HLOOKUP($F$25,spelerslijsten!$B$1:$J$22,16,FALSE)),"",HLOOKUP($F$25,spelerslijsten!$B$1:$J$22,16,FALSE))</f>
        <v>10</v>
      </c>
      <c r="C36" s="398"/>
      <c r="D36" s="121"/>
      <c r="E36" s="122" t="str">
        <f>IF(ISBLANK(HLOOKUP($F$25,spelerslijsten!$B$1:$J$22,15,FALSE)),"",HLOOKUP($F$25,spelerslijsten!$B$1:$J$22,15,FALSE))</f>
        <v>Jeffrey Danen</v>
      </c>
      <c r="F36" s="12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08">
        <f t="shared" si="23"/>
        <v>5</v>
      </c>
      <c r="W36" s="109" t="str">
        <f t="shared" si="24"/>
        <v/>
      </c>
      <c r="X36" s="110" t="str">
        <f t="shared" si="25"/>
        <v/>
      </c>
      <c r="Y36" s="103" t="str">
        <f t="shared" si="26"/>
        <v/>
      </c>
      <c r="Z36" s="111"/>
      <c r="AA36" s="112"/>
      <c r="AB36" s="113" t="str">
        <f t="shared" si="16"/>
        <v>-</v>
      </c>
      <c r="AC36" s="112"/>
      <c r="AD36" s="114"/>
      <c r="AE36" s="115"/>
      <c r="AF36" s="115"/>
      <c r="AG36" s="116"/>
      <c r="AH36" s="117"/>
      <c r="AI36" s="117"/>
      <c r="AJ36" s="342"/>
      <c r="AK36" s="343"/>
      <c r="AL36" s="346"/>
      <c r="AM36" s="347"/>
      <c r="AN36" s="118"/>
      <c r="AO36" s="101" t="str">
        <f t="shared" si="19"/>
        <v/>
      </c>
      <c r="AP36" s="113" t="str">
        <f t="shared" si="20"/>
        <v>-</v>
      </c>
      <c r="AQ36" s="119"/>
      <c r="AR36" s="103" t="str">
        <f t="shared" si="21"/>
        <v/>
      </c>
      <c r="AT36" s="38" t="str">
        <f t="shared" si="27"/>
        <v>B10</v>
      </c>
      <c r="AU36" s="38">
        <f t="shared" si="18"/>
        <v>0</v>
      </c>
      <c r="AY36" s="38" t="str">
        <f t="shared" si="1"/>
        <v/>
      </c>
      <c r="AZ36" s="38" t="str">
        <f t="shared" si="2"/>
        <v>0</v>
      </c>
      <c r="BA36" s="38" t="str">
        <f t="shared" si="3"/>
        <v>0</v>
      </c>
      <c r="BB36" s="38" t="str">
        <f t="shared" si="4"/>
        <v>0</v>
      </c>
      <c r="BC36" s="38">
        <f t="shared" si="5"/>
        <v>0</v>
      </c>
      <c r="BD36" s="38">
        <f t="shared" si="6"/>
        <v>0</v>
      </c>
      <c r="BL36" s="38" t="str">
        <f t="shared" si="7"/>
        <v/>
      </c>
      <c r="BM36" s="38" t="str">
        <f t="shared" si="8"/>
        <v/>
      </c>
      <c r="BN36" s="38" t="str">
        <f t="shared" si="9"/>
        <v/>
      </c>
      <c r="BO36" s="38" t="str">
        <f t="shared" si="10"/>
        <v/>
      </c>
      <c r="BP36" s="38" t="str">
        <f t="shared" si="11"/>
        <v/>
      </c>
      <c r="BQ36" s="38" t="str">
        <f t="shared" si="12"/>
        <v/>
      </c>
    </row>
    <row r="37" spans="1:69" ht="15.6" x14ac:dyDescent="0.3">
      <c r="A37" s="124"/>
      <c r="B37" s="397" t="str">
        <f>IF(ISBLANK(HLOOKUP($F$25,spelerslijsten!$B$1:$J$22,18,FALSE)),"",HLOOKUP($F$25,spelerslijsten!$B$1:$J$22,18,FALSE))</f>
        <v/>
      </c>
      <c r="C37" s="398"/>
      <c r="D37" s="121"/>
      <c r="E37" s="122" t="str">
        <f>IF(ISBLANK(HLOOKUP($F$25,spelerslijsten!$B$1:$J$22,17,FALSE)),"",HLOOKUP($F$25,spelerslijsten!$B$1:$J$22,17,FALSE))</f>
        <v/>
      </c>
      <c r="F37" s="12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08">
        <f t="shared" si="23"/>
        <v>0</v>
      </c>
      <c r="W37" s="109" t="str">
        <f t="shared" si="24"/>
        <v/>
      </c>
      <c r="X37" s="110" t="str">
        <f t="shared" si="25"/>
        <v/>
      </c>
      <c r="Y37" s="103" t="str">
        <f t="shared" si="26"/>
        <v/>
      </c>
      <c r="Z37" s="111"/>
      <c r="AA37" s="112"/>
      <c r="AB37" s="113" t="str">
        <f t="shared" si="16"/>
        <v>-</v>
      </c>
      <c r="AC37" s="112"/>
      <c r="AD37" s="114"/>
      <c r="AE37" s="115"/>
      <c r="AF37" s="115"/>
      <c r="AG37" s="116"/>
      <c r="AH37" s="117"/>
      <c r="AI37" s="117"/>
      <c r="AJ37" s="342"/>
      <c r="AK37" s="343"/>
      <c r="AL37" s="346"/>
      <c r="AM37" s="347"/>
      <c r="AN37" s="118"/>
      <c r="AO37" s="101" t="str">
        <f t="shared" si="19"/>
        <v/>
      </c>
      <c r="AP37" s="113" t="str">
        <f t="shared" si="20"/>
        <v>-</v>
      </c>
      <c r="AQ37" s="119"/>
      <c r="AR37" s="103" t="str">
        <f t="shared" si="21"/>
        <v/>
      </c>
      <c r="AT37" s="38" t="str">
        <f t="shared" si="27"/>
        <v>B</v>
      </c>
      <c r="AU37" s="38">
        <f t="shared" si="18"/>
        <v>0</v>
      </c>
      <c r="AY37" s="38" t="str">
        <f t="shared" si="1"/>
        <v/>
      </c>
      <c r="AZ37" s="38" t="str">
        <f t="shared" si="2"/>
        <v>0</v>
      </c>
      <c r="BA37" s="38" t="str">
        <f t="shared" si="3"/>
        <v>0</v>
      </c>
      <c r="BB37" s="38" t="str">
        <f t="shared" si="4"/>
        <v>0</v>
      </c>
      <c r="BC37" s="38">
        <f t="shared" si="5"/>
        <v>0</v>
      </c>
      <c r="BD37" s="38">
        <f t="shared" si="6"/>
        <v>0</v>
      </c>
      <c r="BL37" s="38" t="str">
        <f t="shared" si="7"/>
        <v/>
      </c>
      <c r="BM37" s="38" t="str">
        <f t="shared" si="8"/>
        <v/>
      </c>
      <c r="BN37" s="38" t="str">
        <f t="shared" si="9"/>
        <v/>
      </c>
      <c r="BO37" s="38" t="str">
        <f t="shared" si="10"/>
        <v/>
      </c>
      <c r="BP37" s="38" t="str">
        <f t="shared" si="11"/>
        <v/>
      </c>
      <c r="BQ37" s="38" t="str">
        <f t="shared" si="12"/>
        <v/>
      </c>
    </row>
    <row r="38" spans="1:69" ht="15.6" x14ac:dyDescent="0.3">
      <c r="A38" s="124"/>
      <c r="B38" s="397" t="str">
        <f>IF(ISBLANK(HLOOKUP($F$25,spelerslijsten!$B$1:$J$22,20,FALSE)),"",HLOOKUP($F$25,spelerslijsten!$B$1:$J$22,20,FALSE))</f>
        <v/>
      </c>
      <c r="C38" s="398"/>
      <c r="D38" s="121"/>
      <c r="E38" s="122" t="str">
        <f>IF(ISBLANK(HLOOKUP($F$25,spelerslijsten!$B$1:$J$22,19,FALSE)),"",HLOOKUP($F$25,spelerslijsten!$B$1:$J$22,19,FALSE))</f>
        <v/>
      </c>
      <c r="F38" s="12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08">
        <f t="shared" si="23"/>
        <v>0</v>
      </c>
      <c r="W38" s="109" t="str">
        <f t="shared" si="24"/>
        <v/>
      </c>
      <c r="X38" s="110" t="str">
        <f t="shared" si="25"/>
        <v/>
      </c>
      <c r="Y38" s="103" t="str">
        <f t="shared" si="26"/>
        <v/>
      </c>
      <c r="Z38" s="111"/>
      <c r="AA38" s="112"/>
      <c r="AB38" s="113" t="str">
        <f t="shared" si="16"/>
        <v>-</v>
      </c>
      <c r="AC38" s="112"/>
      <c r="AD38" s="114"/>
      <c r="AE38" s="115"/>
      <c r="AF38" s="115"/>
      <c r="AG38" s="116"/>
      <c r="AH38" s="117"/>
      <c r="AI38" s="117"/>
      <c r="AJ38" s="342"/>
      <c r="AK38" s="343"/>
      <c r="AL38" s="346"/>
      <c r="AM38" s="347"/>
      <c r="AN38" s="118"/>
      <c r="AO38" s="101" t="str">
        <f t="shared" si="19"/>
        <v/>
      </c>
      <c r="AP38" s="113" t="str">
        <f t="shared" si="20"/>
        <v>-</v>
      </c>
      <c r="AQ38" s="119"/>
      <c r="AR38" s="103" t="str">
        <f t="shared" si="21"/>
        <v/>
      </c>
      <c r="AT38" s="38" t="str">
        <f t="shared" si="27"/>
        <v>B</v>
      </c>
      <c r="AU38" s="38">
        <f t="shared" si="18"/>
        <v>0</v>
      </c>
      <c r="AY38" s="38" t="str">
        <f t="shared" si="1"/>
        <v/>
      </c>
      <c r="AZ38" s="38" t="str">
        <f t="shared" si="2"/>
        <v>0</v>
      </c>
      <c r="BA38" s="38" t="str">
        <f t="shared" si="3"/>
        <v>0</v>
      </c>
      <c r="BB38" s="38" t="str">
        <f t="shared" si="4"/>
        <v>0</v>
      </c>
      <c r="BC38" s="38">
        <f t="shared" si="5"/>
        <v>0</v>
      </c>
      <c r="BD38" s="38">
        <f t="shared" si="6"/>
        <v>0</v>
      </c>
      <c r="BL38" s="38" t="str">
        <f t="shared" si="7"/>
        <v/>
      </c>
      <c r="BM38" s="38" t="str">
        <f t="shared" si="8"/>
        <v/>
      </c>
      <c r="BN38" s="38" t="str">
        <f t="shared" si="9"/>
        <v/>
      </c>
      <c r="BO38" s="38" t="str">
        <f t="shared" si="10"/>
        <v/>
      </c>
      <c r="BP38" s="38" t="str">
        <f t="shared" si="11"/>
        <v/>
      </c>
      <c r="BQ38" s="38" t="str">
        <f t="shared" si="12"/>
        <v/>
      </c>
    </row>
    <row r="39" spans="1:69" ht="15.6" x14ac:dyDescent="0.3">
      <c r="A39" s="125"/>
      <c r="B39" s="397" t="str">
        <f>IF(ISBLANK(HLOOKUP($F$25,spelerslijsten!$B$1:$J$22,22,FALSE)),"",HLOOKUP($F$25,spelerslijsten!$B$1:$J$22,22,FALSE))</f>
        <v/>
      </c>
      <c r="C39" s="398"/>
      <c r="D39" s="126"/>
      <c r="E39" s="259" t="str">
        <f>IF(ISBLANK(HLOOKUP($F$25,spelerslijsten!$B$1:$J$22,21,FALSE)),"",HLOOKUP($F$25,spelerslijsten!$B$1:$J$22,21,FALSE))</f>
        <v/>
      </c>
      <c r="F39" s="126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08">
        <f t="shared" si="23"/>
        <v>0</v>
      </c>
      <c r="W39" s="109" t="str">
        <f t="shared" si="24"/>
        <v/>
      </c>
      <c r="X39" s="110" t="str">
        <f t="shared" si="25"/>
        <v/>
      </c>
      <c r="Y39" s="103" t="str">
        <f t="shared" si="26"/>
        <v/>
      </c>
      <c r="Z39" s="111"/>
      <c r="AA39" s="112"/>
      <c r="AB39" s="113" t="str">
        <f t="shared" si="16"/>
        <v>-</v>
      </c>
      <c r="AC39" s="112"/>
      <c r="AD39" s="114"/>
      <c r="AE39" s="115"/>
      <c r="AF39" s="115"/>
      <c r="AG39" s="116"/>
      <c r="AH39" s="117"/>
      <c r="AI39" s="117"/>
      <c r="AJ39" s="342"/>
      <c r="AK39" s="343"/>
      <c r="AL39" s="346"/>
      <c r="AM39" s="347"/>
      <c r="AN39" s="118"/>
      <c r="AO39" s="101" t="str">
        <f t="shared" si="19"/>
        <v/>
      </c>
      <c r="AP39" s="113" t="str">
        <f t="shared" si="20"/>
        <v>-</v>
      </c>
      <c r="AQ39" s="119"/>
      <c r="AR39" s="103" t="str">
        <f t="shared" si="21"/>
        <v/>
      </c>
      <c r="AT39" s="38" t="str">
        <f t="shared" si="27"/>
        <v>B</v>
      </c>
      <c r="AU39" s="38">
        <f t="shared" si="18"/>
        <v>0</v>
      </c>
      <c r="AY39" s="38" t="str">
        <f t="shared" si="1"/>
        <v/>
      </c>
      <c r="AZ39" s="38" t="str">
        <f t="shared" si="2"/>
        <v>0</v>
      </c>
      <c r="BA39" s="38" t="str">
        <f t="shared" si="3"/>
        <v>0</v>
      </c>
      <c r="BB39" s="38" t="str">
        <f t="shared" si="4"/>
        <v>0</v>
      </c>
      <c r="BC39" s="38">
        <f t="shared" si="5"/>
        <v>0</v>
      </c>
      <c r="BD39" s="38">
        <f t="shared" si="6"/>
        <v>0</v>
      </c>
      <c r="BL39" s="38" t="str">
        <f t="shared" si="7"/>
        <v/>
      </c>
      <c r="BM39" s="38" t="str">
        <f t="shared" si="8"/>
        <v/>
      </c>
      <c r="BN39" s="38" t="str">
        <f t="shared" si="9"/>
        <v/>
      </c>
      <c r="BO39" s="38" t="str">
        <f t="shared" si="10"/>
        <v/>
      </c>
      <c r="BP39" s="38" t="str">
        <f t="shared" si="11"/>
        <v/>
      </c>
      <c r="BQ39" s="38" t="str">
        <f t="shared" si="12"/>
        <v/>
      </c>
    </row>
    <row r="40" spans="1:69" ht="16.2" thickBot="1" x14ac:dyDescent="0.35">
      <c r="A40" s="71" t="s">
        <v>67</v>
      </c>
      <c r="B40" s="72"/>
      <c r="C40" s="72"/>
      <c r="D40" s="72"/>
      <c r="E40" s="72"/>
      <c r="F40" s="72"/>
      <c r="G40" s="72"/>
      <c r="H40" s="72"/>
      <c r="I40" s="399">
        <f>HLOOKUP(F25,spelerslijsten!B1:J25,25,FALSE)</f>
        <v>2</v>
      </c>
      <c r="J40" s="400"/>
      <c r="K40" s="74" t="s">
        <v>23</v>
      </c>
      <c r="L40" s="72"/>
      <c r="M40" s="72"/>
      <c r="N40" s="129" t="str">
        <f>HLOOKUP(F25,spelerslijsten!B1:J25,23,FALSE)</f>
        <v>Mieke Reijnders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30"/>
      <c r="Z40" s="111"/>
      <c r="AA40" s="112"/>
      <c r="AB40" s="113" t="str">
        <f t="shared" si="16"/>
        <v>-</v>
      </c>
      <c r="AC40" s="112"/>
      <c r="AD40" s="114"/>
      <c r="AE40" s="115"/>
      <c r="AF40" s="115"/>
      <c r="AG40" s="116"/>
      <c r="AH40" s="117"/>
      <c r="AI40" s="117"/>
      <c r="AJ40" s="342"/>
      <c r="AK40" s="343"/>
      <c r="AL40" s="346"/>
      <c r="AM40" s="347"/>
      <c r="AN40" s="118"/>
      <c r="AO40" s="101" t="str">
        <f t="shared" si="19"/>
        <v/>
      </c>
      <c r="AP40" s="113" t="str">
        <f t="shared" si="20"/>
        <v>-</v>
      </c>
      <c r="AQ40" s="119"/>
      <c r="AR40" s="103" t="str">
        <f t="shared" si="21"/>
        <v/>
      </c>
      <c r="AY40" s="38" t="str">
        <f t="shared" si="1"/>
        <v/>
      </c>
      <c r="AZ40" s="38" t="str">
        <f t="shared" si="2"/>
        <v>0</v>
      </c>
      <c r="BA40" s="38" t="str">
        <f t="shared" si="3"/>
        <v>0</v>
      </c>
      <c r="BB40" s="38" t="str">
        <f t="shared" si="4"/>
        <v>0</v>
      </c>
      <c r="BC40" s="38">
        <f t="shared" si="5"/>
        <v>0</v>
      </c>
      <c r="BD40" s="38">
        <f t="shared" si="6"/>
        <v>0</v>
      </c>
      <c r="BL40" s="38" t="str">
        <f t="shared" si="7"/>
        <v/>
      </c>
      <c r="BM40" s="38" t="str">
        <f t="shared" si="8"/>
        <v/>
      </c>
      <c r="BN40" s="38" t="str">
        <f t="shared" si="9"/>
        <v/>
      </c>
      <c r="BO40" s="38" t="str">
        <f t="shared" si="10"/>
        <v/>
      </c>
      <c r="BP40" s="38" t="str">
        <f t="shared" si="11"/>
        <v/>
      </c>
      <c r="BQ40" s="38" t="str">
        <f t="shared" si="12"/>
        <v/>
      </c>
    </row>
    <row r="41" spans="1:69" ht="15.6" x14ac:dyDescent="0.3">
      <c r="A41" s="157" t="s">
        <v>68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158"/>
      <c r="Z41" s="111"/>
      <c r="AA41" s="112"/>
      <c r="AB41" s="113" t="str">
        <f t="shared" si="16"/>
        <v>-</v>
      </c>
      <c r="AC41" s="112"/>
      <c r="AD41" s="114"/>
      <c r="AE41" s="115"/>
      <c r="AF41" s="115"/>
      <c r="AG41" s="116"/>
      <c r="AH41" s="117"/>
      <c r="AI41" s="117"/>
      <c r="AJ41" s="342"/>
      <c r="AK41" s="343"/>
      <c r="AL41" s="346"/>
      <c r="AM41" s="347"/>
      <c r="AN41" s="118"/>
      <c r="AO41" s="101" t="str">
        <f t="shared" si="19"/>
        <v/>
      </c>
      <c r="AP41" s="113" t="str">
        <f t="shared" si="20"/>
        <v>-</v>
      </c>
      <c r="AQ41" s="119"/>
      <c r="AR41" s="103" t="str">
        <f t="shared" si="21"/>
        <v/>
      </c>
      <c r="AY41" s="38" t="str">
        <f t="shared" si="1"/>
        <v/>
      </c>
      <c r="AZ41" s="38" t="str">
        <f t="shared" si="2"/>
        <v>0</v>
      </c>
      <c r="BA41" s="38" t="str">
        <f t="shared" si="3"/>
        <v>0</v>
      </c>
      <c r="BB41" s="38" t="str">
        <f t="shared" si="4"/>
        <v>0</v>
      </c>
      <c r="BC41" s="38">
        <f t="shared" si="5"/>
        <v>0</v>
      </c>
      <c r="BD41" s="38">
        <f t="shared" si="6"/>
        <v>0</v>
      </c>
      <c r="BL41" s="38" t="str">
        <f t="shared" si="7"/>
        <v/>
      </c>
      <c r="BM41" s="38" t="str">
        <f t="shared" si="8"/>
        <v/>
      </c>
      <c r="BN41" s="38" t="str">
        <f t="shared" si="9"/>
        <v/>
      </c>
      <c r="BO41" s="38" t="str">
        <f t="shared" si="10"/>
        <v/>
      </c>
      <c r="BP41" s="38" t="str">
        <f t="shared" si="11"/>
        <v/>
      </c>
      <c r="BQ41" s="38" t="str">
        <f t="shared" si="12"/>
        <v/>
      </c>
    </row>
    <row r="42" spans="1:69" ht="15.6" x14ac:dyDescent="0.3">
      <c r="A42" s="15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60"/>
      <c r="Z42" s="111"/>
      <c r="AA42" s="112"/>
      <c r="AB42" s="113" t="str">
        <f t="shared" si="16"/>
        <v>-</v>
      </c>
      <c r="AC42" s="112"/>
      <c r="AD42" s="114"/>
      <c r="AE42" s="115"/>
      <c r="AF42" s="115"/>
      <c r="AG42" s="116"/>
      <c r="AH42" s="117"/>
      <c r="AI42" s="117"/>
      <c r="AJ42" s="342"/>
      <c r="AK42" s="343"/>
      <c r="AL42" s="346"/>
      <c r="AM42" s="347"/>
      <c r="AN42" s="118"/>
      <c r="AO42" s="101" t="str">
        <f t="shared" si="19"/>
        <v/>
      </c>
      <c r="AP42" s="113" t="str">
        <f t="shared" si="20"/>
        <v>-</v>
      </c>
      <c r="AQ42" s="119"/>
      <c r="AR42" s="103" t="str">
        <f t="shared" si="21"/>
        <v/>
      </c>
      <c r="AY42" s="38" t="str">
        <f t="shared" si="1"/>
        <v/>
      </c>
      <c r="AZ42" s="38" t="str">
        <f t="shared" si="2"/>
        <v>0</v>
      </c>
      <c r="BA42" s="38" t="str">
        <f t="shared" si="3"/>
        <v>0</v>
      </c>
      <c r="BB42" s="38" t="str">
        <f t="shared" si="4"/>
        <v>0</v>
      </c>
      <c r="BC42" s="38">
        <f t="shared" si="5"/>
        <v>0</v>
      </c>
      <c r="BD42" s="38">
        <f t="shared" si="6"/>
        <v>0</v>
      </c>
      <c r="BL42" s="38" t="str">
        <f t="shared" si="7"/>
        <v/>
      </c>
      <c r="BM42" s="38" t="str">
        <f t="shared" si="8"/>
        <v/>
      </c>
      <c r="BN42" s="38" t="str">
        <f t="shared" si="9"/>
        <v/>
      </c>
      <c r="BO42" s="38" t="str">
        <f t="shared" si="10"/>
        <v/>
      </c>
      <c r="BP42" s="38" t="str">
        <f t="shared" si="11"/>
        <v/>
      </c>
      <c r="BQ42" s="38" t="str">
        <f t="shared" si="12"/>
        <v/>
      </c>
    </row>
    <row r="43" spans="1:69" ht="15.6" x14ac:dyDescent="0.3">
      <c r="A43" s="16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62"/>
      <c r="Z43" s="111"/>
      <c r="AA43" s="112"/>
      <c r="AB43" s="113" t="str">
        <f t="shared" si="16"/>
        <v>-</v>
      </c>
      <c r="AC43" s="112"/>
      <c r="AD43" s="114"/>
      <c r="AE43" s="115"/>
      <c r="AF43" s="115"/>
      <c r="AG43" s="116"/>
      <c r="AH43" s="117"/>
      <c r="AI43" s="117"/>
      <c r="AJ43" s="342"/>
      <c r="AK43" s="343"/>
      <c r="AL43" s="346"/>
      <c r="AM43" s="347"/>
      <c r="AN43" s="118"/>
      <c r="AO43" s="101" t="str">
        <f t="shared" si="19"/>
        <v/>
      </c>
      <c r="AP43" s="113" t="str">
        <f t="shared" si="20"/>
        <v>-</v>
      </c>
      <c r="AQ43" s="119"/>
      <c r="AR43" s="103" t="str">
        <f t="shared" si="21"/>
        <v/>
      </c>
      <c r="AY43" s="38" t="str">
        <f t="shared" si="1"/>
        <v/>
      </c>
      <c r="AZ43" s="38" t="str">
        <f t="shared" si="2"/>
        <v>0</v>
      </c>
      <c r="BA43" s="38" t="str">
        <f t="shared" si="3"/>
        <v>0</v>
      </c>
      <c r="BB43" s="38" t="str">
        <f t="shared" si="4"/>
        <v>0</v>
      </c>
      <c r="BC43" s="38">
        <f t="shared" si="5"/>
        <v>0</v>
      </c>
      <c r="BD43" s="38">
        <f t="shared" si="6"/>
        <v>0</v>
      </c>
      <c r="BL43" s="38" t="str">
        <f t="shared" si="7"/>
        <v/>
      </c>
      <c r="BM43" s="38" t="str">
        <f t="shared" si="8"/>
        <v/>
      </c>
      <c r="BN43" s="38" t="str">
        <f t="shared" si="9"/>
        <v/>
      </c>
      <c r="BO43" s="38" t="str">
        <f t="shared" si="10"/>
        <v/>
      </c>
      <c r="BP43" s="38" t="str">
        <f t="shared" si="11"/>
        <v/>
      </c>
      <c r="BQ43" s="38" t="str">
        <f t="shared" si="12"/>
        <v/>
      </c>
    </row>
    <row r="44" spans="1:69" ht="15.6" x14ac:dyDescent="0.3">
      <c r="A44" s="16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62"/>
      <c r="Z44" s="111"/>
      <c r="AA44" s="112"/>
      <c r="AB44" s="113" t="str">
        <f t="shared" si="16"/>
        <v>-</v>
      </c>
      <c r="AC44" s="112"/>
      <c r="AD44" s="114"/>
      <c r="AE44" s="115"/>
      <c r="AF44" s="115"/>
      <c r="AG44" s="116"/>
      <c r="AH44" s="117"/>
      <c r="AI44" s="117"/>
      <c r="AJ44" s="342"/>
      <c r="AK44" s="343"/>
      <c r="AL44" s="346"/>
      <c r="AM44" s="347"/>
      <c r="AN44" s="118"/>
      <c r="AO44" s="101" t="str">
        <f t="shared" si="19"/>
        <v/>
      </c>
      <c r="AP44" s="113" t="str">
        <f t="shared" si="20"/>
        <v>-</v>
      </c>
      <c r="AQ44" s="119"/>
      <c r="AR44" s="103" t="str">
        <f t="shared" si="21"/>
        <v/>
      </c>
      <c r="AY44" s="38" t="str">
        <f t="shared" si="1"/>
        <v/>
      </c>
      <c r="AZ44" s="38" t="str">
        <f t="shared" si="2"/>
        <v>0</v>
      </c>
      <c r="BA44" s="38" t="str">
        <f t="shared" si="3"/>
        <v>0</v>
      </c>
      <c r="BB44" s="38" t="str">
        <f t="shared" si="4"/>
        <v>0</v>
      </c>
      <c r="BC44" s="38">
        <f t="shared" si="5"/>
        <v>0</v>
      </c>
      <c r="BD44" s="38">
        <f t="shared" si="6"/>
        <v>0</v>
      </c>
      <c r="BL44" s="38" t="str">
        <f t="shared" si="7"/>
        <v/>
      </c>
      <c r="BM44" s="38" t="str">
        <f t="shared" si="8"/>
        <v/>
      </c>
      <c r="BN44" s="38" t="str">
        <f t="shared" si="9"/>
        <v/>
      </c>
      <c r="BO44" s="38" t="str">
        <f t="shared" si="10"/>
        <v/>
      </c>
      <c r="BP44" s="38" t="str">
        <f t="shared" si="11"/>
        <v/>
      </c>
      <c r="BQ44" s="38" t="str">
        <f t="shared" si="12"/>
        <v/>
      </c>
    </row>
    <row r="45" spans="1:69" ht="15.6" x14ac:dyDescent="0.3">
      <c r="A45" s="16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62"/>
      <c r="Z45" s="111"/>
      <c r="AA45" s="112"/>
      <c r="AB45" s="113" t="str">
        <f>+AB44</f>
        <v>-</v>
      </c>
      <c r="AC45" s="112"/>
      <c r="AD45" s="114"/>
      <c r="AE45" s="115"/>
      <c r="AF45" s="115"/>
      <c r="AG45" s="116"/>
      <c r="AH45" s="117"/>
      <c r="AI45" s="117"/>
      <c r="AJ45" s="342"/>
      <c r="AK45" s="343"/>
      <c r="AL45" s="346"/>
      <c r="AM45" s="347"/>
      <c r="AN45" s="118"/>
      <c r="AO45" s="101" t="str">
        <f t="shared" si="19"/>
        <v/>
      </c>
      <c r="AP45" s="113" t="str">
        <f t="shared" si="20"/>
        <v>-</v>
      </c>
      <c r="AQ45" s="119"/>
      <c r="AR45" s="103" t="str">
        <f t="shared" si="21"/>
        <v/>
      </c>
      <c r="AY45" s="38" t="str">
        <f t="shared" si="1"/>
        <v/>
      </c>
      <c r="AZ45" s="38" t="str">
        <f t="shared" si="2"/>
        <v>0</v>
      </c>
      <c r="BA45" s="38" t="str">
        <f t="shared" si="3"/>
        <v>0</v>
      </c>
      <c r="BB45" s="38" t="str">
        <f t="shared" si="4"/>
        <v>0</v>
      </c>
      <c r="BC45" s="38">
        <f t="shared" si="5"/>
        <v>0</v>
      </c>
      <c r="BD45" s="38">
        <f t="shared" si="6"/>
        <v>0</v>
      </c>
      <c r="BL45" s="38" t="str">
        <f t="shared" si="7"/>
        <v/>
      </c>
      <c r="BM45" s="38" t="str">
        <f t="shared" si="8"/>
        <v/>
      </c>
      <c r="BN45" s="38" t="str">
        <f t="shared" si="9"/>
        <v/>
      </c>
      <c r="BO45" s="38" t="str">
        <f t="shared" si="10"/>
        <v/>
      </c>
      <c r="BP45" s="38" t="str">
        <f t="shared" si="11"/>
        <v/>
      </c>
      <c r="BQ45" s="38" t="str">
        <f t="shared" si="12"/>
        <v/>
      </c>
    </row>
    <row r="46" spans="1:69" ht="16.2" thickBot="1" x14ac:dyDescent="0.35">
      <c r="A46" s="163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64"/>
      <c r="Z46" s="165"/>
      <c r="AA46" s="166"/>
      <c r="AB46" s="167" t="str">
        <f>+AB45</f>
        <v>-</v>
      </c>
      <c r="AC46" s="166"/>
      <c r="AD46" s="168"/>
      <c r="AE46" s="169"/>
      <c r="AF46" s="169"/>
      <c r="AG46" s="170"/>
      <c r="AH46" s="171"/>
      <c r="AI46" s="171"/>
      <c r="AJ46" s="344"/>
      <c r="AK46" s="345"/>
      <c r="AL46" s="352"/>
      <c r="AM46" s="353"/>
      <c r="AN46" s="172"/>
      <c r="AO46" s="101" t="str">
        <f t="shared" si="19"/>
        <v/>
      </c>
      <c r="AP46" s="113" t="str">
        <f t="shared" si="20"/>
        <v>-</v>
      </c>
      <c r="AQ46" s="119"/>
      <c r="AR46" s="103" t="str">
        <f t="shared" si="21"/>
        <v/>
      </c>
      <c r="AY46" s="38" t="str">
        <f t="shared" si="1"/>
        <v/>
      </c>
      <c r="AZ46" s="38" t="str">
        <f t="shared" si="2"/>
        <v>0</v>
      </c>
      <c r="BA46" s="38" t="str">
        <f t="shared" si="3"/>
        <v>0</v>
      </c>
      <c r="BB46" s="38" t="str">
        <f t="shared" si="4"/>
        <v>0</v>
      </c>
      <c r="BC46" s="38">
        <f t="shared" si="5"/>
        <v>0</v>
      </c>
      <c r="BD46" s="38">
        <f t="shared" si="6"/>
        <v>0</v>
      </c>
      <c r="BL46" s="38" t="str">
        <f t="shared" si="7"/>
        <v/>
      </c>
      <c r="BM46" s="38" t="str">
        <f t="shared" si="8"/>
        <v/>
      </c>
      <c r="BN46" s="38" t="str">
        <f t="shared" si="9"/>
        <v/>
      </c>
      <c r="BO46" s="38" t="str">
        <f t="shared" si="10"/>
        <v/>
      </c>
      <c r="BP46" s="38" t="str">
        <f t="shared" si="11"/>
        <v/>
      </c>
      <c r="BQ46" s="38" t="str">
        <f t="shared" si="12"/>
        <v/>
      </c>
    </row>
    <row r="47" spans="1:69" ht="18.600000000000001" thickBot="1" x14ac:dyDescent="0.35">
      <c r="A47" s="173" t="s">
        <v>69</v>
      </c>
      <c r="B47" s="174"/>
      <c r="C47" s="174"/>
      <c r="D47" s="174"/>
      <c r="E47" s="174"/>
      <c r="F47" s="174"/>
      <c r="G47" s="174">
        <f>IF(AO52&gt;AR52,AO52,IF(AO52=AR52,AO52,AR52))</f>
        <v>8</v>
      </c>
      <c r="H47" s="175" t="s">
        <v>16</v>
      </c>
      <c r="I47" s="174">
        <f>IF(AO52&gt;AR52,AR52,IF(AO52=AR52,AR52,AO52))</f>
        <v>3</v>
      </c>
      <c r="J47" s="174"/>
      <c r="K47" s="174" t="s">
        <v>70</v>
      </c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6" t="str">
        <f>BE52</f>
        <v>BLAUW</v>
      </c>
      <c r="W47" s="174"/>
      <c r="X47" s="174"/>
      <c r="Y47" s="174"/>
      <c r="Z47" s="174"/>
      <c r="AA47" s="174"/>
      <c r="AB47" s="174"/>
      <c r="AC47" s="174"/>
      <c r="AD47" s="177"/>
      <c r="AE47" s="178" t="s">
        <v>71</v>
      </c>
      <c r="AF47" s="179"/>
      <c r="AG47" s="179"/>
      <c r="AH47" s="179"/>
      <c r="AI47" s="179"/>
      <c r="AJ47" s="174"/>
      <c r="AK47" s="174"/>
      <c r="AL47" s="403" t="s">
        <v>177</v>
      </c>
      <c r="AM47" s="404"/>
      <c r="AN47" s="404"/>
      <c r="AO47" s="404"/>
      <c r="AP47" s="404"/>
      <c r="AQ47" s="404"/>
      <c r="AR47" s="405"/>
    </row>
    <row r="48" spans="1:69" x14ac:dyDescent="0.3">
      <c r="A48" s="180" t="s">
        <v>72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2"/>
      <c r="P48" s="183" t="s">
        <v>72</v>
      </c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2"/>
      <c r="AC48" s="181"/>
      <c r="AD48" s="184"/>
      <c r="AE48" s="185" t="s">
        <v>72</v>
      </c>
      <c r="AF48" s="186"/>
      <c r="AG48" s="186"/>
      <c r="AH48" s="186"/>
      <c r="AI48" s="186"/>
      <c r="AJ48" s="181"/>
      <c r="AK48" s="181"/>
      <c r="AL48" s="181"/>
      <c r="AM48" s="181"/>
      <c r="AN48" s="181"/>
      <c r="AO48" s="186"/>
      <c r="AP48" s="181"/>
      <c r="AQ48" s="181"/>
      <c r="AR48" s="187"/>
    </row>
    <row r="49" spans="1:57" x14ac:dyDescent="0.3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/>
      <c r="P49" s="191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90"/>
      <c r="AC49" s="189"/>
      <c r="AD49" s="192"/>
      <c r="AE49" s="193"/>
      <c r="AF49" s="193"/>
      <c r="AG49" s="193"/>
      <c r="AH49" s="193"/>
      <c r="AI49" s="193"/>
      <c r="AJ49" s="189"/>
      <c r="AK49" s="189"/>
      <c r="AL49" s="189"/>
      <c r="AM49" s="189"/>
      <c r="AN49" s="189"/>
      <c r="AO49" s="193"/>
      <c r="AP49" s="189"/>
      <c r="AQ49" s="189"/>
      <c r="AR49" s="194"/>
    </row>
    <row r="50" spans="1:57" ht="14.4" thickBot="1" x14ac:dyDescent="0.3">
      <c r="A50" s="195" t="s">
        <v>73</v>
      </c>
      <c r="B50" s="196"/>
      <c r="C50" s="196"/>
      <c r="D50" s="196"/>
      <c r="E50" s="196"/>
      <c r="F50" s="196"/>
      <c r="G50" s="196"/>
      <c r="H50" s="197" t="s">
        <v>74</v>
      </c>
      <c r="I50" s="196"/>
      <c r="J50" s="196"/>
      <c r="K50" s="196"/>
      <c r="L50" s="196"/>
      <c r="M50" s="196"/>
      <c r="N50" s="196"/>
      <c r="O50" s="198"/>
      <c r="P50" s="199" t="s">
        <v>73</v>
      </c>
      <c r="Q50" s="196"/>
      <c r="R50" s="196"/>
      <c r="S50" s="196"/>
      <c r="T50" s="196"/>
      <c r="U50" s="196"/>
      <c r="V50" s="196"/>
      <c r="W50" s="197" t="s">
        <v>75</v>
      </c>
      <c r="X50" s="196"/>
      <c r="Y50" s="196"/>
      <c r="Z50" s="196"/>
      <c r="AA50" s="196"/>
      <c r="AB50" s="198"/>
      <c r="AC50" s="196"/>
      <c r="AD50" s="200"/>
      <c r="AE50" s="201" t="s">
        <v>25</v>
      </c>
      <c r="AF50" s="202"/>
      <c r="AG50" s="202"/>
      <c r="AH50" s="202"/>
      <c r="AI50" s="202"/>
      <c r="AJ50" s="203"/>
      <c r="AK50" s="203"/>
      <c r="AL50" s="203"/>
      <c r="AM50" s="203"/>
      <c r="AN50" s="203"/>
      <c r="AO50" s="202"/>
      <c r="AP50" s="203"/>
      <c r="AQ50" s="203"/>
      <c r="AR50" s="204"/>
    </row>
    <row r="52" spans="1:57" hidden="1" x14ac:dyDescent="0.3">
      <c r="AO52" s="40">
        <f>IF(AO13="","",MAX(AO13:AO46))</f>
        <v>3</v>
      </c>
      <c r="AR52" s="40">
        <f>IF(AR13="","",MAX(AR13:AR46))</f>
        <v>8</v>
      </c>
      <c r="AS52" s="38" t="str">
        <f>IF(AO13="","0","1")</f>
        <v>1</v>
      </c>
      <c r="BE52" s="38" t="str">
        <f>IF(AS52="0","WIT/BLAUW",IF(AO52&gt;AR52,"WIT",IF(AO52=AR52,"GELIJK","BLAUW")))</f>
        <v>BLAUW</v>
      </c>
    </row>
  </sheetData>
  <sheetProtection sheet="1" objects="1" scenarios="1"/>
  <mergeCells count="107">
    <mergeCell ref="AN10:AR11"/>
    <mergeCell ref="A11:D12"/>
    <mergeCell ref="AN12:AO12"/>
    <mergeCell ref="AQ12:AR12"/>
    <mergeCell ref="D3:N3"/>
    <mergeCell ref="D4:E4"/>
    <mergeCell ref="G4:I4"/>
    <mergeCell ref="K4:M4"/>
    <mergeCell ref="BF4:BI6"/>
    <mergeCell ref="AH6:AR6"/>
    <mergeCell ref="B14:C14"/>
    <mergeCell ref="AJ14:AK14"/>
    <mergeCell ref="AL14:AM14"/>
    <mergeCell ref="B15:C15"/>
    <mergeCell ref="AJ15:AK15"/>
    <mergeCell ref="AL15:AM15"/>
    <mergeCell ref="F10:Y12"/>
    <mergeCell ref="Z10:AD12"/>
    <mergeCell ref="AJ10:AK12"/>
    <mergeCell ref="AL10:AM12"/>
    <mergeCell ref="B18:C18"/>
    <mergeCell ref="AJ18:AK18"/>
    <mergeCell ref="AL18:AM18"/>
    <mergeCell ref="B19:C19"/>
    <mergeCell ref="AJ19:AK19"/>
    <mergeCell ref="AL19:AM19"/>
    <mergeCell ref="B16:C16"/>
    <mergeCell ref="AJ16:AK16"/>
    <mergeCell ref="AL16:AM16"/>
    <mergeCell ref="B17:C17"/>
    <mergeCell ref="AJ17:AK17"/>
    <mergeCell ref="AL17:AM17"/>
    <mergeCell ref="B22:C22"/>
    <mergeCell ref="AJ22:AK22"/>
    <mergeCell ref="AL22:AM22"/>
    <mergeCell ref="B23:C23"/>
    <mergeCell ref="AJ23:AK23"/>
    <mergeCell ref="AL23:AM23"/>
    <mergeCell ref="B20:C20"/>
    <mergeCell ref="AJ20:AK20"/>
    <mergeCell ref="AL20:AM20"/>
    <mergeCell ref="B21:C21"/>
    <mergeCell ref="AJ21:AK21"/>
    <mergeCell ref="AL21:AM21"/>
    <mergeCell ref="B30:C30"/>
    <mergeCell ref="AJ30:AK30"/>
    <mergeCell ref="AL30:AM30"/>
    <mergeCell ref="B31:C31"/>
    <mergeCell ref="AJ31:AK31"/>
    <mergeCell ref="AL31:AM31"/>
    <mergeCell ref="A26:D28"/>
    <mergeCell ref="AJ26:AK26"/>
    <mergeCell ref="AL26:AM26"/>
    <mergeCell ref="AJ27:AK27"/>
    <mergeCell ref="AL27:AM27"/>
    <mergeCell ref="AJ28:AK28"/>
    <mergeCell ref="AL28:AM28"/>
    <mergeCell ref="F25:Y28"/>
    <mergeCell ref="AJ25:AK25"/>
    <mergeCell ref="AL25:AM25"/>
    <mergeCell ref="B34:C34"/>
    <mergeCell ref="AJ34:AK34"/>
    <mergeCell ref="AL34:AM34"/>
    <mergeCell ref="B35:C35"/>
    <mergeCell ref="AJ35:AK35"/>
    <mergeCell ref="AL35:AM35"/>
    <mergeCell ref="B32:C32"/>
    <mergeCell ref="AJ32:AK32"/>
    <mergeCell ref="AL32:AM32"/>
    <mergeCell ref="B33:C33"/>
    <mergeCell ref="AJ33:AK33"/>
    <mergeCell ref="AL33:AM33"/>
    <mergeCell ref="B38:C38"/>
    <mergeCell ref="AJ38:AK38"/>
    <mergeCell ref="AL38:AM38"/>
    <mergeCell ref="B39:C39"/>
    <mergeCell ref="AJ39:AK39"/>
    <mergeCell ref="AL39:AM39"/>
    <mergeCell ref="B36:C36"/>
    <mergeCell ref="AJ36:AK36"/>
    <mergeCell ref="AL36:AM36"/>
    <mergeCell ref="B37:C37"/>
    <mergeCell ref="AJ37:AK37"/>
    <mergeCell ref="AL37:AM37"/>
    <mergeCell ref="AJ42:AK42"/>
    <mergeCell ref="AL42:AM42"/>
    <mergeCell ref="AJ29:AK29"/>
    <mergeCell ref="AL29:AM29"/>
    <mergeCell ref="AJ46:AK46"/>
    <mergeCell ref="AL46:AM46"/>
    <mergeCell ref="AL47:AR47"/>
    <mergeCell ref="AJ43:AK43"/>
    <mergeCell ref="AL43:AM43"/>
    <mergeCell ref="AJ44:AK44"/>
    <mergeCell ref="AL44:AM44"/>
    <mergeCell ref="AJ45:AK45"/>
    <mergeCell ref="AL45:AM45"/>
    <mergeCell ref="I24:J24"/>
    <mergeCell ref="AJ24:AK24"/>
    <mergeCell ref="AL24:AM24"/>
    <mergeCell ref="AJ13:AK13"/>
    <mergeCell ref="I40:J40"/>
    <mergeCell ref="AJ40:AK40"/>
    <mergeCell ref="AL40:AM40"/>
    <mergeCell ref="AJ41:AK41"/>
    <mergeCell ref="AL41:AM41"/>
    <mergeCell ref="AL13:AM13"/>
  </mergeCells>
  <dataValidations count="1">
    <dataValidation type="list" allowBlank="1" showInputMessage="1" showErrorMessage="1" sqref="AL47:AR47" xr:uid="{AE6FE2CD-AA05-4909-815F-D075E0A1DAAF}">
      <formula1>"JA/NEE,JA,NEE"</formula1>
    </dataValidation>
  </dataValidations>
  <hyperlinks>
    <hyperlink ref="BF4:BI6" location="Wedstrijden!A1" display="Wedstrijdschema" xr:uid="{B6A5A3BF-2AE9-4668-98E9-3D9B1590EA6F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8"/>
  <dimension ref="A1:R31"/>
  <sheetViews>
    <sheetView topLeftCell="A11" workbookViewId="0">
      <selection activeCell="C29" sqref="C29:F31"/>
    </sheetView>
  </sheetViews>
  <sheetFormatPr defaultRowHeight="14.4" x14ac:dyDescent="0.3"/>
  <cols>
    <col min="1" max="1" width="16.6640625" style="217" customWidth="1"/>
    <col min="2" max="2" width="26.109375" style="208" bestFit="1" customWidth="1"/>
    <col min="3" max="3" width="24.88671875" style="208" bestFit="1" customWidth="1"/>
    <col min="4" max="4" width="26.33203125" style="208" bestFit="1" customWidth="1"/>
    <col min="5" max="5" width="22.44140625" style="208" bestFit="1" customWidth="1"/>
    <col min="6" max="6" width="23" style="208" customWidth="1"/>
    <col min="7" max="7" width="27.44140625" style="208" bestFit="1" customWidth="1"/>
    <col min="8" max="10" width="26.33203125" style="208" bestFit="1" customWidth="1"/>
    <col min="11" max="11" width="15.6640625" style="208" bestFit="1" customWidth="1"/>
    <col min="12" max="12" width="20.6640625" style="208" bestFit="1" customWidth="1"/>
    <col min="13" max="13" width="16.109375" style="208" bestFit="1" customWidth="1"/>
    <col min="14" max="14" width="18" style="208" bestFit="1" customWidth="1"/>
    <col min="15" max="15" width="10.6640625" style="208" bestFit="1" customWidth="1"/>
    <col min="16" max="16" width="16.33203125" style="208" bestFit="1" customWidth="1"/>
    <col min="17" max="17" width="25.33203125" style="208" customWidth="1"/>
    <col min="18" max="18" width="16.33203125" style="208" bestFit="1" customWidth="1"/>
    <col min="19" max="257" width="9.109375" style="208"/>
    <col min="258" max="258" width="16.6640625" style="208" customWidth="1"/>
    <col min="259" max="259" width="28.6640625" style="208" customWidth="1"/>
    <col min="260" max="260" width="21.109375" style="208" bestFit="1" customWidth="1"/>
    <col min="261" max="261" width="15.6640625" style="208" bestFit="1" customWidth="1"/>
    <col min="262" max="262" width="22.44140625" style="208" bestFit="1" customWidth="1"/>
    <col min="263" max="263" width="23" style="208" customWidth="1"/>
    <col min="264" max="264" width="22.44140625" style="208" bestFit="1" customWidth="1"/>
    <col min="265" max="265" width="23.44140625" style="208" bestFit="1" customWidth="1"/>
    <col min="266" max="266" width="20.44140625" style="208" customWidth="1"/>
    <col min="267" max="267" width="15.6640625" style="208" bestFit="1" customWidth="1"/>
    <col min="268" max="268" width="20.6640625" style="208" bestFit="1" customWidth="1"/>
    <col min="269" max="269" width="16.109375" style="208" bestFit="1" customWidth="1"/>
    <col min="270" max="270" width="18" style="208" bestFit="1" customWidth="1"/>
    <col min="271" max="271" width="10.6640625" style="208" bestFit="1" customWidth="1"/>
    <col min="272" max="272" width="16.33203125" style="208" bestFit="1" customWidth="1"/>
    <col min="273" max="273" width="25.33203125" style="208" customWidth="1"/>
    <col min="274" max="274" width="16.33203125" style="208" bestFit="1" customWidth="1"/>
    <col min="275" max="513" width="9.109375" style="208"/>
    <col min="514" max="514" width="16.6640625" style="208" customWidth="1"/>
    <col min="515" max="515" width="28.6640625" style="208" customWidth="1"/>
    <col min="516" max="516" width="21.109375" style="208" bestFit="1" customWidth="1"/>
    <col min="517" max="517" width="15.6640625" style="208" bestFit="1" customWidth="1"/>
    <col min="518" max="518" width="22.44140625" style="208" bestFit="1" customWidth="1"/>
    <col min="519" max="519" width="23" style="208" customWidth="1"/>
    <col min="520" max="520" width="22.44140625" style="208" bestFit="1" customWidth="1"/>
    <col min="521" max="521" width="23.44140625" style="208" bestFit="1" customWidth="1"/>
    <col min="522" max="522" width="20.44140625" style="208" customWidth="1"/>
    <col min="523" max="523" width="15.6640625" style="208" bestFit="1" customWidth="1"/>
    <col min="524" max="524" width="20.6640625" style="208" bestFit="1" customWidth="1"/>
    <col min="525" max="525" width="16.109375" style="208" bestFit="1" customWidth="1"/>
    <col min="526" max="526" width="18" style="208" bestFit="1" customWidth="1"/>
    <col min="527" max="527" width="10.6640625" style="208" bestFit="1" customWidth="1"/>
    <col min="528" max="528" width="16.33203125" style="208" bestFit="1" customWidth="1"/>
    <col min="529" max="529" width="25.33203125" style="208" customWidth="1"/>
    <col min="530" max="530" width="16.33203125" style="208" bestFit="1" customWidth="1"/>
    <col min="531" max="769" width="9.109375" style="208"/>
    <col min="770" max="770" width="16.6640625" style="208" customWidth="1"/>
    <col min="771" max="771" width="28.6640625" style="208" customWidth="1"/>
    <col min="772" max="772" width="21.109375" style="208" bestFit="1" customWidth="1"/>
    <col min="773" max="773" width="15.6640625" style="208" bestFit="1" customWidth="1"/>
    <col min="774" max="774" width="22.44140625" style="208" bestFit="1" customWidth="1"/>
    <col min="775" max="775" width="23" style="208" customWidth="1"/>
    <col min="776" max="776" width="22.44140625" style="208" bestFit="1" customWidth="1"/>
    <col min="777" max="777" width="23.44140625" style="208" bestFit="1" customWidth="1"/>
    <col min="778" max="778" width="20.44140625" style="208" customWidth="1"/>
    <col min="779" max="779" width="15.6640625" style="208" bestFit="1" customWidth="1"/>
    <col min="780" max="780" width="20.6640625" style="208" bestFit="1" customWidth="1"/>
    <col min="781" max="781" width="16.109375" style="208" bestFit="1" customWidth="1"/>
    <col min="782" max="782" width="18" style="208" bestFit="1" customWidth="1"/>
    <col min="783" max="783" width="10.6640625" style="208" bestFit="1" customWidth="1"/>
    <col min="784" max="784" width="16.33203125" style="208" bestFit="1" customWidth="1"/>
    <col min="785" max="785" width="25.33203125" style="208" customWidth="1"/>
    <col min="786" max="786" width="16.33203125" style="208" bestFit="1" customWidth="1"/>
    <col min="787" max="1025" width="9.109375" style="208"/>
    <col min="1026" max="1026" width="16.6640625" style="208" customWidth="1"/>
    <col min="1027" max="1027" width="28.6640625" style="208" customWidth="1"/>
    <col min="1028" max="1028" width="21.109375" style="208" bestFit="1" customWidth="1"/>
    <col min="1029" max="1029" width="15.6640625" style="208" bestFit="1" customWidth="1"/>
    <col min="1030" max="1030" width="22.44140625" style="208" bestFit="1" customWidth="1"/>
    <col min="1031" max="1031" width="23" style="208" customWidth="1"/>
    <col min="1032" max="1032" width="22.44140625" style="208" bestFit="1" customWidth="1"/>
    <col min="1033" max="1033" width="23.44140625" style="208" bestFit="1" customWidth="1"/>
    <col min="1034" max="1034" width="20.44140625" style="208" customWidth="1"/>
    <col min="1035" max="1035" width="15.6640625" style="208" bestFit="1" customWidth="1"/>
    <col min="1036" max="1036" width="20.6640625" style="208" bestFit="1" customWidth="1"/>
    <col min="1037" max="1037" width="16.109375" style="208" bestFit="1" customWidth="1"/>
    <col min="1038" max="1038" width="18" style="208" bestFit="1" customWidth="1"/>
    <col min="1039" max="1039" width="10.6640625" style="208" bestFit="1" customWidth="1"/>
    <col min="1040" max="1040" width="16.33203125" style="208" bestFit="1" customWidth="1"/>
    <col min="1041" max="1041" width="25.33203125" style="208" customWidth="1"/>
    <col min="1042" max="1042" width="16.33203125" style="208" bestFit="1" customWidth="1"/>
    <col min="1043" max="1281" width="9.109375" style="208"/>
    <col min="1282" max="1282" width="16.6640625" style="208" customWidth="1"/>
    <col min="1283" max="1283" width="28.6640625" style="208" customWidth="1"/>
    <col min="1284" max="1284" width="21.109375" style="208" bestFit="1" customWidth="1"/>
    <col min="1285" max="1285" width="15.6640625" style="208" bestFit="1" customWidth="1"/>
    <col min="1286" max="1286" width="22.44140625" style="208" bestFit="1" customWidth="1"/>
    <col min="1287" max="1287" width="23" style="208" customWidth="1"/>
    <col min="1288" max="1288" width="22.44140625" style="208" bestFit="1" customWidth="1"/>
    <col min="1289" max="1289" width="23.44140625" style="208" bestFit="1" customWidth="1"/>
    <col min="1290" max="1290" width="20.44140625" style="208" customWidth="1"/>
    <col min="1291" max="1291" width="15.6640625" style="208" bestFit="1" customWidth="1"/>
    <col min="1292" max="1292" width="20.6640625" style="208" bestFit="1" customWidth="1"/>
    <col min="1293" max="1293" width="16.109375" style="208" bestFit="1" customWidth="1"/>
    <col min="1294" max="1294" width="18" style="208" bestFit="1" customWidth="1"/>
    <col min="1295" max="1295" width="10.6640625" style="208" bestFit="1" customWidth="1"/>
    <col min="1296" max="1296" width="16.33203125" style="208" bestFit="1" customWidth="1"/>
    <col min="1297" max="1297" width="25.33203125" style="208" customWidth="1"/>
    <col min="1298" max="1298" width="16.33203125" style="208" bestFit="1" customWidth="1"/>
    <col min="1299" max="1537" width="9.109375" style="208"/>
    <col min="1538" max="1538" width="16.6640625" style="208" customWidth="1"/>
    <col min="1539" max="1539" width="28.6640625" style="208" customWidth="1"/>
    <col min="1540" max="1540" width="21.109375" style="208" bestFit="1" customWidth="1"/>
    <col min="1541" max="1541" width="15.6640625" style="208" bestFit="1" customWidth="1"/>
    <col min="1542" max="1542" width="22.44140625" style="208" bestFit="1" customWidth="1"/>
    <col min="1543" max="1543" width="23" style="208" customWidth="1"/>
    <col min="1544" max="1544" width="22.44140625" style="208" bestFit="1" customWidth="1"/>
    <col min="1545" max="1545" width="23.44140625" style="208" bestFit="1" customWidth="1"/>
    <col min="1546" max="1546" width="20.44140625" style="208" customWidth="1"/>
    <col min="1547" max="1547" width="15.6640625" style="208" bestFit="1" customWidth="1"/>
    <col min="1548" max="1548" width="20.6640625" style="208" bestFit="1" customWidth="1"/>
    <col min="1549" max="1549" width="16.109375" style="208" bestFit="1" customWidth="1"/>
    <col min="1550" max="1550" width="18" style="208" bestFit="1" customWidth="1"/>
    <col min="1551" max="1551" width="10.6640625" style="208" bestFit="1" customWidth="1"/>
    <col min="1552" max="1552" width="16.33203125" style="208" bestFit="1" customWidth="1"/>
    <col min="1553" max="1553" width="25.33203125" style="208" customWidth="1"/>
    <col min="1554" max="1554" width="16.33203125" style="208" bestFit="1" customWidth="1"/>
    <col min="1555" max="1793" width="9.109375" style="208"/>
    <col min="1794" max="1794" width="16.6640625" style="208" customWidth="1"/>
    <col min="1795" max="1795" width="28.6640625" style="208" customWidth="1"/>
    <col min="1796" max="1796" width="21.109375" style="208" bestFit="1" customWidth="1"/>
    <col min="1797" max="1797" width="15.6640625" style="208" bestFit="1" customWidth="1"/>
    <col min="1798" max="1798" width="22.44140625" style="208" bestFit="1" customWidth="1"/>
    <col min="1799" max="1799" width="23" style="208" customWidth="1"/>
    <col min="1800" max="1800" width="22.44140625" style="208" bestFit="1" customWidth="1"/>
    <col min="1801" max="1801" width="23.44140625" style="208" bestFit="1" customWidth="1"/>
    <col min="1802" max="1802" width="20.44140625" style="208" customWidth="1"/>
    <col min="1803" max="1803" width="15.6640625" style="208" bestFit="1" customWidth="1"/>
    <col min="1804" max="1804" width="20.6640625" style="208" bestFit="1" customWidth="1"/>
    <col min="1805" max="1805" width="16.109375" style="208" bestFit="1" customWidth="1"/>
    <col min="1806" max="1806" width="18" style="208" bestFit="1" customWidth="1"/>
    <col min="1807" max="1807" width="10.6640625" style="208" bestFit="1" customWidth="1"/>
    <col min="1808" max="1808" width="16.33203125" style="208" bestFit="1" customWidth="1"/>
    <col min="1809" max="1809" width="25.33203125" style="208" customWidth="1"/>
    <col min="1810" max="1810" width="16.33203125" style="208" bestFit="1" customWidth="1"/>
    <col min="1811" max="2049" width="9.109375" style="208"/>
    <col min="2050" max="2050" width="16.6640625" style="208" customWidth="1"/>
    <col min="2051" max="2051" width="28.6640625" style="208" customWidth="1"/>
    <col min="2052" max="2052" width="21.109375" style="208" bestFit="1" customWidth="1"/>
    <col min="2053" max="2053" width="15.6640625" style="208" bestFit="1" customWidth="1"/>
    <col min="2054" max="2054" width="22.44140625" style="208" bestFit="1" customWidth="1"/>
    <col min="2055" max="2055" width="23" style="208" customWidth="1"/>
    <col min="2056" max="2056" width="22.44140625" style="208" bestFit="1" customWidth="1"/>
    <col min="2057" max="2057" width="23.44140625" style="208" bestFit="1" customWidth="1"/>
    <col min="2058" max="2058" width="20.44140625" style="208" customWidth="1"/>
    <col min="2059" max="2059" width="15.6640625" style="208" bestFit="1" customWidth="1"/>
    <col min="2060" max="2060" width="20.6640625" style="208" bestFit="1" customWidth="1"/>
    <col min="2061" max="2061" width="16.109375" style="208" bestFit="1" customWidth="1"/>
    <col min="2062" max="2062" width="18" style="208" bestFit="1" customWidth="1"/>
    <col min="2063" max="2063" width="10.6640625" style="208" bestFit="1" customWidth="1"/>
    <col min="2064" max="2064" width="16.33203125" style="208" bestFit="1" customWidth="1"/>
    <col min="2065" max="2065" width="25.33203125" style="208" customWidth="1"/>
    <col min="2066" max="2066" width="16.33203125" style="208" bestFit="1" customWidth="1"/>
    <col min="2067" max="2305" width="9.109375" style="208"/>
    <col min="2306" max="2306" width="16.6640625" style="208" customWidth="1"/>
    <col min="2307" max="2307" width="28.6640625" style="208" customWidth="1"/>
    <col min="2308" max="2308" width="21.109375" style="208" bestFit="1" customWidth="1"/>
    <col min="2309" max="2309" width="15.6640625" style="208" bestFit="1" customWidth="1"/>
    <col min="2310" max="2310" width="22.44140625" style="208" bestFit="1" customWidth="1"/>
    <col min="2311" max="2311" width="23" style="208" customWidth="1"/>
    <col min="2312" max="2312" width="22.44140625" style="208" bestFit="1" customWidth="1"/>
    <col min="2313" max="2313" width="23.44140625" style="208" bestFit="1" customWidth="1"/>
    <col min="2314" max="2314" width="20.44140625" style="208" customWidth="1"/>
    <col min="2315" max="2315" width="15.6640625" style="208" bestFit="1" customWidth="1"/>
    <col min="2316" max="2316" width="20.6640625" style="208" bestFit="1" customWidth="1"/>
    <col min="2317" max="2317" width="16.109375" style="208" bestFit="1" customWidth="1"/>
    <col min="2318" max="2318" width="18" style="208" bestFit="1" customWidth="1"/>
    <col min="2319" max="2319" width="10.6640625" style="208" bestFit="1" customWidth="1"/>
    <col min="2320" max="2320" width="16.33203125" style="208" bestFit="1" customWidth="1"/>
    <col min="2321" max="2321" width="25.33203125" style="208" customWidth="1"/>
    <col min="2322" max="2322" width="16.33203125" style="208" bestFit="1" customWidth="1"/>
    <col min="2323" max="2561" width="9.109375" style="208"/>
    <col min="2562" max="2562" width="16.6640625" style="208" customWidth="1"/>
    <col min="2563" max="2563" width="28.6640625" style="208" customWidth="1"/>
    <col min="2564" max="2564" width="21.109375" style="208" bestFit="1" customWidth="1"/>
    <col min="2565" max="2565" width="15.6640625" style="208" bestFit="1" customWidth="1"/>
    <col min="2566" max="2566" width="22.44140625" style="208" bestFit="1" customWidth="1"/>
    <col min="2567" max="2567" width="23" style="208" customWidth="1"/>
    <col min="2568" max="2568" width="22.44140625" style="208" bestFit="1" customWidth="1"/>
    <col min="2569" max="2569" width="23.44140625" style="208" bestFit="1" customWidth="1"/>
    <col min="2570" max="2570" width="20.44140625" style="208" customWidth="1"/>
    <col min="2571" max="2571" width="15.6640625" style="208" bestFit="1" customWidth="1"/>
    <col min="2572" max="2572" width="20.6640625" style="208" bestFit="1" customWidth="1"/>
    <col min="2573" max="2573" width="16.109375" style="208" bestFit="1" customWidth="1"/>
    <col min="2574" max="2574" width="18" style="208" bestFit="1" customWidth="1"/>
    <col min="2575" max="2575" width="10.6640625" style="208" bestFit="1" customWidth="1"/>
    <col min="2576" max="2576" width="16.33203125" style="208" bestFit="1" customWidth="1"/>
    <col min="2577" max="2577" width="25.33203125" style="208" customWidth="1"/>
    <col min="2578" max="2578" width="16.33203125" style="208" bestFit="1" customWidth="1"/>
    <col min="2579" max="2817" width="9.109375" style="208"/>
    <col min="2818" max="2818" width="16.6640625" style="208" customWidth="1"/>
    <col min="2819" max="2819" width="28.6640625" style="208" customWidth="1"/>
    <col min="2820" max="2820" width="21.109375" style="208" bestFit="1" customWidth="1"/>
    <col min="2821" max="2821" width="15.6640625" style="208" bestFit="1" customWidth="1"/>
    <col min="2822" max="2822" width="22.44140625" style="208" bestFit="1" customWidth="1"/>
    <col min="2823" max="2823" width="23" style="208" customWidth="1"/>
    <col min="2824" max="2824" width="22.44140625" style="208" bestFit="1" customWidth="1"/>
    <col min="2825" max="2825" width="23.44140625" style="208" bestFit="1" customWidth="1"/>
    <col min="2826" max="2826" width="20.44140625" style="208" customWidth="1"/>
    <col min="2827" max="2827" width="15.6640625" style="208" bestFit="1" customWidth="1"/>
    <col min="2828" max="2828" width="20.6640625" style="208" bestFit="1" customWidth="1"/>
    <col min="2829" max="2829" width="16.109375" style="208" bestFit="1" customWidth="1"/>
    <col min="2830" max="2830" width="18" style="208" bestFit="1" customWidth="1"/>
    <col min="2831" max="2831" width="10.6640625" style="208" bestFit="1" customWidth="1"/>
    <col min="2832" max="2832" width="16.33203125" style="208" bestFit="1" customWidth="1"/>
    <col min="2833" max="2833" width="25.33203125" style="208" customWidth="1"/>
    <col min="2834" max="2834" width="16.33203125" style="208" bestFit="1" customWidth="1"/>
    <col min="2835" max="3073" width="9.109375" style="208"/>
    <col min="3074" max="3074" width="16.6640625" style="208" customWidth="1"/>
    <col min="3075" max="3075" width="28.6640625" style="208" customWidth="1"/>
    <col min="3076" max="3076" width="21.109375" style="208" bestFit="1" customWidth="1"/>
    <col min="3077" max="3077" width="15.6640625" style="208" bestFit="1" customWidth="1"/>
    <col min="3078" max="3078" width="22.44140625" style="208" bestFit="1" customWidth="1"/>
    <col min="3079" max="3079" width="23" style="208" customWidth="1"/>
    <col min="3080" max="3080" width="22.44140625" style="208" bestFit="1" customWidth="1"/>
    <col min="3081" max="3081" width="23.44140625" style="208" bestFit="1" customWidth="1"/>
    <col min="3082" max="3082" width="20.44140625" style="208" customWidth="1"/>
    <col min="3083" max="3083" width="15.6640625" style="208" bestFit="1" customWidth="1"/>
    <col min="3084" max="3084" width="20.6640625" style="208" bestFit="1" customWidth="1"/>
    <col min="3085" max="3085" width="16.109375" style="208" bestFit="1" customWidth="1"/>
    <col min="3086" max="3086" width="18" style="208" bestFit="1" customWidth="1"/>
    <col min="3087" max="3087" width="10.6640625" style="208" bestFit="1" customWidth="1"/>
    <col min="3088" max="3088" width="16.33203125" style="208" bestFit="1" customWidth="1"/>
    <col min="3089" max="3089" width="25.33203125" style="208" customWidth="1"/>
    <col min="3090" max="3090" width="16.33203125" style="208" bestFit="1" customWidth="1"/>
    <col min="3091" max="3329" width="9.109375" style="208"/>
    <col min="3330" max="3330" width="16.6640625" style="208" customWidth="1"/>
    <col min="3331" max="3331" width="28.6640625" style="208" customWidth="1"/>
    <col min="3332" max="3332" width="21.109375" style="208" bestFit="1" customWidth="1"/>
    <col min="3333" max="3333" width="15.6640625" style="208" bestFit="1" customWidth="1"/>
    <col min="3334" max="3334" width="22.44140625" style="208" bestFit="1" customWidth="1"/>
    <col min="3335" max="3335" width="23" style="208" customWidth="1"/>
    <col min="3336" max="3336" width="22.44140625" style="208" bestFit="1" customWidth="1"/>
    <col min="3337" max="3337" width="23.44140625" style="208" bestFit="1" customWidth="1"/>
    <col min="3338" max="3338" width="20.44140625" style="208" customWidth="1"/>
    <col min="3339" max="3339" width="15.6640625" style="208" bestFit="1" customWidth="1"/>
    <col min="3340" max="3340" width="20.6640625" style="208" bestFit="1" customWidth="1"/>
    <col min="3341" max="3341" width="16.109375" style="208" bestFit="1" customWidth="1"/>
    <col min="3342" max="3342" width="18" style="208" bestFit="1" customWidth="1"/>
    <col min="3343" max="3343" width="10.6640625" style="208" bestFit="1" customWidth="1"/>
    <col min="3344" max="3344" width="16.33203125" style="208" bestFit="1" customWidth="1"/>
    <col min="3345" max="3345" width="25.33203125" style="208" customWidth="1"/>
    <col min="3346" max="3346" width="16.33203125" style="208" bestFit="1" customWidth="1"/>
    <col min="3347" max="3585" width="9.109375" style="208"/>
    <col min="3586" max="3586" width="16.6640625" style="208" customWidth="1"/>
    <col min="3587" max="3587" width="28.6640625" style="208" customWidth="1"/>
    <col min="3588" max="3588" width="21.109375" style="208" bestFit="1" customWidth="1"/>
    <col min="3589" max="3589" width="15.6640625" style="208" bestFit="1" customWidth="1"/>
    <col min="3590" max="3590" width="22.44140625" style="208" bestFit="1" customWidth="1"/>
    <col min="3591" max="3591" width="23" style="208" customWidth="1"/>
    <col min="3592" max="3592" width="22.44140625" style="208" bestFit="1" customWidth="1"/>
    <col min="3593" max="3593" width="23.44140625" style="208" bestFit="1" customWidth="1"/>
    <col min="3594" max="3594" width="20.44140625" style="208" customWidth="1"/>
    <col min="3595" max="3595" width="15.6640625" style="208" bestFit="1" customWidth="1"/>
    <col min="3596" max="3596" width="20.6640625" style="208" bestFit="1" customWidth="1"/>
    <col min="3597" max="3597" width="16.109375" style="208" bestFit="1" customWidth="1"/>
    <col min="3598" max="3598" width="18" style="208" bestFit="1" customWidth="1"/>
    <col min="3599" max="3599" width="10.6640625" style="208" bestFit="1" customWidth="1"/>
    <col min="3600" max="3600" width="16.33203125" style="208" bestFit="1" customWidth="1"/>
    <col min="3601" max="3601" width="25.33203125" style="208" customWidth="1"/>
    <col min="3602" max="3602" width="16.33203125" style="208" bestFit="1" customWidth="1"/>
    <col min="3603" max="3841" width="9.109375" style="208"/>
    <col min="3842" max="3842" width="16.6640625" style="208" customWidth="1"/>
    <col min="3843" max="3843" width="28.6640625" style="208" customWidth="1"/>
    <col min="3844" max="3844" width="21.109375" style="208" bestFit="1" customWidth="1"/>
    <col min="3845" max="3845" width="15.6640625" style="208" bestFit="1" customWidth="1"/>
    <col min="3846" max="3846" width="22.44140625" style="208" bestFit="1" customWidth="1"/>
    <col min="3847" max="3847" width="23" style="208" customWidth="1"/>
    <col min="3848" max="3848" width="22.44140625" style="208" bestFit="1" customWidth="1"/>
    <col min="3849" max="3849" width="23.44140625" style="208" bestFit="1" customWidth="1"/>
    <col min="3850" max="3850" width="20.44140625" style="208" customWidth="1"/>
    <col min="3851" max="3851" width="15.6640625" style="208" bestFit="1" customWidth="1"/>
    <col min="3852" max="3852" width="20.6640625" style="208" bestFit="1" customWidth="1"/>
    <col min="3853" max="3853" width="16.109375" style="208" bestFit="1" customWidth="1"/>
    <col min="3854" max="3854" width="18" style="208" bestFit="1" customWidth="1"/>
    <col min="3855" max="3855" width="10.6640625" style="208" bestFit="1" customWidth="1"/>
    <col min="3856" max="3856" width="16.33203125" style="208" bestFit="1" customWidth="1"/>
    <col min="3857" max="3857" width="25.33203125" style="208" customWidth="1"/>
    <col min="3858" max="3858" width="16.33203125" style="208" bestFit="1" customWidth="1"/>
    <col min="3859" max="4097" width="9.109375" style="208"/>
    <col min="4098" max="4098" width="16.6640625" style="208" customWidth="1"/>
    <col min="4099" max="4099" width="28.6640625" style="208" customWidth="1"/>
    <col min="4100" max="4100" width="21.109375" style="208" bestFit="1" customWidth="1"/>
    <col min="4101" max="4101" width="15.6640625" style="208" bestFit="1" customWidth="1"/>
    <col min="4102" max="4102" width="22.44140625" style="208" bestFit="1" customWidth="1"/>
    <col min="4103" max="4103" width="23" style="208" customWidth="1"/>
    <col min="4104" max="4104" width="22.44140625" style="208" bestFit="1" customWidth="1"/>
    <col min="4105" max="4105" width="23.44140625" style="208" bestFit="1" customWidth="1"/>
    <col min="4106" max="4106" width="20.44140625" style="208" customWidth="1"/>
    <col min="4107" max="4107" width="15.6640625" style="208" bestFit="1" customWidth="1"/>
    <col min="4108" max="4108" width="20.6640625" style="208" bestFit="1" customWidth="1"/>
    <col min="4109" max="4109" width="16.109375" style="208" bestFit="1" customWidth="1"/>
    <col min="4110" max="4110" width="18" style="208" bestFit="1" customWidth="1"/>
    <col min="4111" max="4111" width="10.6640625" style="208" bestFit="1" customWidth="1"/>
    <col min="4112" max="4112" width="16.33203125" style="208" bestFit="1" customWidth="1"/>
    <col min="4113" max="4113" width="25.33203125" style="208" customWidth="1"/>
    <col min="4114" max="4114" width="16.33203125" style="208" bestFit="1" customWidth="1"/>
    <col min="4115" max="4353" width="9.109375" style="208"/>
    <col min="4354" max="4354" width="16.6640625" style="208" customWidth="1"/>
    <col min="4355" max="4355" width="28.6640625" style="208" customWidth="1"/>
    <col min="4356" max="4356" width="21.109375" style="208" bestFit="1" customWidth="1"/>
    <col min="4357" max="4357" width="15.6640625" style="208" bestFit="1" customWidth="1"/>
    <col min="4358" max="4358" width="22.44140625" style="208" bestFit="1" customWidth="1"/>
    <col min="4359" max="4359" width="23" style="208" customWidth="1"/>
    <col min="4360" max="4360" width="22.44140625" style="208" bestFit="1" customWidth="1"/>
    <col min="4361" max="4361" width="23.44140625" style="208" bestFit="1" customWidth="1"/>
    <col min="4362" max="4362" width="20.44140625" style="208" customWidth="1"/>
    <col min="4363" max="4363" width="15.6640625" style="208" bestFit="1" customWidth="1"/>
    <col min="4364" max="4364" width="20.6640625" style="208" bestFit="1" customWidth="1"/>
    <col min="4365" max="4365" width="16.109375" style="208" bestFit="1" customWidth="1"/>
    <col min="4366" max="4366" width="18" style="208" bestFit="1" customWidth="1"/>
    <col min="4367" max="4367" width="10.6640625" style="208" bestFit="1" customWidth="1"/>
    <col min="4368" max="4368" width="16.33203125" style="208" bestFit="1" customWidth="1"/>
    <col min="4369" max="4369" width="25.33203125" style="208" customWidth="1"/>
    <col min="4370" max="4370" width="16.33203125" style="208" bestFit="1" customWidth="1"/>
    <col min="4371" max="4609" width="9.109375" style="208"/>
    <col min="4610" max="4610" width="16.6640625" style="208" customWidth="1"/>
    <col min="4611" max="4611" width="28.6640625" style="208" customWidth="1"/>
    <col min="4612" max="4612" width="21.109375" style="208" bestFit="1" customWidth="1"/>
    <col min="4613" max="4613" width="15.6640625" style="208" bestFit="1" customWidth="1"/>
    <col min="4614" max="4614" width="22.44140625" style="208" bestFit="1" customWidth="1"/>
    <col min="4615" max="4615" width="23" style="208" customWidth="1"/>
    <col min="4616" max="4616" width="22.44140625" style="208" bestFit="1" customWidth="1"/>
    <col min="4617" max="4617" width="23.44140625" style="208" bestFit="1" customWidth="1"/>
    <col min="4618" max="4618" width="20.44140625" style="208" customWidth="1"/>
    <col min="4619" max="4619" width="15.6640625" style="208" bestFit="1" customWidth="1"/>
    <col min="4620" max="4620" width="20.6640625" style="208" bestFit="1" customWidth="1"/>
    <col min="4621" max="4621" width="16.109375" style="208" bestFit="1" customWidth="1"/>
    <col min="4622" max="4622" width="18" style="208" bestFit="1" customWidth="1"/>
    <col min="4623" max="4623" width="10.6640625" style="208" bestFit="1" customWidth="1"/>
    <col min="4624" max="4624" width="16.33203125" style="208" bestFit="1" customWidth="1"/>
    <col min="4625" max="4625" width="25.33203125" style="208" customWidth="1"/>
    <col min="4626" max="4626" width="16.33203125" style="208" bestFit="1" customWidth="1"/>
    <col min="4627" max="4865" width="9.109375" style="208"/>
    <col min="4866" max="4866" width="16.6640625" style="208" customWidth="1"/>
    <col min="4867" max="4867" width="28.6640625" style="208" customWidth="1"/>
    <col min="4868" max="4868" width="21.109375" style="208" bestFit="1" customWidth="1"/>
    <col min="4869" max="4869" width="15.6640625" style="208" bestFit="1" customWidth="1"/>
    <col min="4870" max="4870" width="22.44140625" style="208" bestFit="1" customWidth="1"/>
    <col min="4871" max="4871" width="23" style="208" customWidth="1"/>
    <col min="4872" max="4872" width="22.44140625" style="208" bestFit="1" customWidth="1"/>
    <col min="4873" max="4873" width="23.44140625" style="208" bestFit="1" customWidth="1"/>
    <col min="4874" max="4874" width="20.44140625" style="208" customWidth="1"/>
    <col min="4875" max="4875" width="15.6640625" style="208" bestFit="1" customWidth="1"/>
    <col min="4876" max="4876" width="20.6640625" style="208" bestFit="1" customWidth="1"/>
    <col min="4877" max="4877" width="16.109375" style="208" bestFit="1" customWidth="1"/>
    <col min="4878" max="4878" width="18" style="208" bestFit="1" customWidth="1"/>
    <col min="4879" max="4879" width="10.6640625" style="208" bestFit="1" customWidth="1"/>
    <col min="4880" max="4880" width="16.33203125" style="208" bestFit="1" customWidth="1"/>
    <col min="4881" max="4881" width="25.33203125" style="208" customWidth="1"/>
    <col min="4882" max="4882" width="16.33203125" style="208" bestFit="1" customWidth="1"/>
    <col min="4883" max="5121" width="9.109375" style="208"/>
    <col min="5122" max="5122" width="16.6640625" style="208" customWidth="1"/>
    <col min="5123" max="5123" width="28.6640625" style="208" customWidth="1"/>
    <col min="5124" max="5124" width="21.109375" style="208" bestFit="1" customWidth="1"/>
    <col min="5125" max="5125" width="15.6640625" style="208" bestFit="1" customWidth="1"/>
    <col min="5126" max="5126" width="22.44140625" style="208" bestFit="1" customWidth="1"/>
    <col min="5127" max="5127" width="23" style="208" customWidth="1"/>
    <col min="5128" max="5128" width="22.44140625" style="208" bestFit="1" customWidth="1"/>
    <col min="5129" max="5129" width="23.44140625" style="208" bestFit="1" customWidth="1"/>
    <col min="5130" max="5130" width="20.44140625" style="208" customWidth="1"/>
    <col min="5131" max="5131" width="15.6640625" style="208" bestFit="1" customWidth="1"/>
    <col min="5132" max="5132" width="20.6640625" style="208" bestFit="1" customWidth="1"/>
    <col min="5133" max="5133" width="16.109375" style="208" bestFit="1" customWidth="1"/>
    <col min="5134" max="5134" width="18" style="208" bestFit="1" customWidth="1"/>
    <col min="5135" max="5135" width="10.6640625" style="208" bestFit="1" customWidth="1"/>
    <col min="5136" max="5136" width="16.33203125" style="208" bestFit="1" customWidth="1"/>
    <col min="5137" max="5137" width="25.33203125" style="208" customWidth="1"/>
    <col min="5138" max="5138" width="16.33203125" style="208" bestFit="1" customWidth="1"/>
    <col min="5139" max="5377" width="9.109375" style="208"/>
    <col min="5378" max="5378" width="16.6640625" style="208" customWidth="1"/>
    <col min="5379" max="5379" width="28.6640625" style="208" customWidth="1"/>
    <col min="5380" max="5380" width="21.109375" style="208" bestFit="1" customWidth="1"/>
    <col min="5381" max="5381" width="15.6640625" style="208" bestFit="1" customWidth="1"/>
    <col min="5382" max="5382" width="22.44140625" style="208" bestFit="1" customWidth="1"/>
    <col min="5383" max="5383" width="23" style="208" customWidth="1"/>
    <col min="5384" max="5384" width="22.44140625" style="208" bestFit="1" customWidth="1"/>
    <col min="5385" max="5385" width="23.44140625" style="208" bestFit="1" customWidth="1"/>
    <col min="5386" max="5386" width="20.44140625" style="208" customWidth="1"/>
    <col min="5387" max="5387" width="15.6640625" style="208" bestFit="1" customWidth="1"/>
    <col min="5388" max="5388" width="20.6640625" style="208" bestFit="1" customWidth="1"/>
    <col min="5389" max="5389" width="16.109375" style="208" bestFit="1" customWidth="1"/>
    <col min="5390" max="5390" width="18" style="208" bestFit="1" customWidth="1"/>
    <col min="5391" max="5391" width="10.6640625" style="208" bestFit="1" customWidth="1"/>
    <col min="5392" max="5392" width="16.33203125" style="208" bestFit="1" customWidth="1"/>
    <col min="5393" max="5393" width="25.33203125" style="208" customWidth="1"/>
    <col min="5394" max="5394" width="16.33203125" style="208" bestFit="1" customWidth="1"/>
    <col min="5395" max="5633" width="9.109375" style="208"/>
    <col min="5634" max="5634" width="16.6640625" style="208" customWidth="1"/>
    <col min="5635" max="5635" width="28.6640625" style="208" customWidth="1"/>
    <col min="5636" max="5636" width="21.109375" style="208" bestFit="1" customWidth="1"/>
    <col min="5637" max="5637" width="15.6640625" style="208" bestFit="1" customWidth="1"/>
    <col min="5638" max="5638" width="22.44140625" style="208" bestFit="1" customWidth="1"/>
    <col min="5639" max="5639" width="23" style="208" customWidth="1"/>
    <col min="5640" max="5640" width="22.44140625" style="208" bestFit="1" customWidth="1"/>
    <col min="5641" max="5641" width="23.44140625" style="208" bestFit="1" customWidth="1"/>
    <col min="5642" max="5642" width="20.44140625" style="208" customWidth="1"/>
    <col min="5643" max="5643" width="15.6640625" style="208" bestFit="1" customWidth="1"/>
    <col min="5644" max="5644" width="20.6640625" style="208" bestFit="1" customWidth="1"/>
    <col min="5645" max="5645" width="16.109375" style="208" bestFit="1" customWidth="1"/>
    <col min="5646" max="5646" width="18" style="208" bestFit="1" customWidth="1"/>
    <col min="5647" max="5647" width="10.6640625" style="208" bestFit="1" customWidth="1"/>
    <col min="5648" max="5648" width="16.33203125" style="208" bestFit="1" customWidth="1"/>
    <col min="5649" max="5649" width="25.33203125" style="208" customWidth="1"/>
    <col min="5650" max="5650" width="16.33203125" style="208" bestFit="1" customWidth="1"/>
    <col min="5651" max="5889" width="9.109375" style="208"/>
    <col min="5890" max="5890" width="16.6640625" style="208" customWidth="1"/>
    <col min="5891" max="5891" width="28.6640625" style="208" customWidth="1"/>
    <col min="5892" max="5892" width="21.109375" style="208" bestFit="1" customWidth="1"/>
    <col min="5893" max="5893" width="15.6640625" style="208" bestFit="1" customWidth="1"/>
    <col min="5894" max="5894" width="22.44140625" style="208" bestFit="1" customWidth="1"/>
    <col min="5895" max="5895" width="23" style="208" customWidth="1"/>
    <col min="5896" max="5896" width="22.44140625" style="208" bestFit="1" customWidth="1"/>
    <col min="5897" max="5897" width="23.44140625" style="208" bestFit="1" customWidth="1"/>
    <col min="5898" max="5898" width="20.44140625" style="208" customWidth="1"/>
    <col min="5899" max="5899" width="15.6640625" style="208" bestFit="1" customWidth="1"/>
    <col min="5900" max="5900" width="20.6640625" style="208" bestFit="1" customWidth="1"/>
    <col min="5901" max="5901" width="16.109375" style="208" bestFit="1" customWidth="1"/>
    <col min="5902" max="5902" width="18" style="208" bestFit="1" customWidth="1"/>
    <col min="5903" max="5903" width="10.6640625" style="208" bestFit="1" customWidth="1"/>
    <col min="5904" max="5904" width="16.33203125" style="208" bestFit="1" customWidth="1"/>
    <col min="5905" max="5905" width="25.33203125" style="208" customWidth="1"/>
    <col min="5906" max="5906" width="16.33203125" style="208" bestFit="1" customWidth="1"/>
    <col min="5907" max="6145" width="9.109375" style="208"/>
    <col min="6146" max="6146" width="16.6640625" style="208" customWidth="1"/>
    <col min="6147" max="6147" width="28.6640625" style="208" customWidth="1"/>
    <col min="6148" max="6148" width="21.109375" style="208" bestFit="1" customWidth="1"/>
    <col min="6149" max="6149" width="15.6640625" style="208" bestFit="1" customWidth="1"/>
    <col min="6150" max="6150" width="22.44140625" style="208" bestFit="1" customWidth="1"/>
    <col min="6151" max="6151" width="23" style="208" customWidth="1"/>
    <col min="6152" max="6152" width="22.44140625" style="208" bestFit="1" customWidth="1"/>
    <col min="6153" max="6153" width="23.44140625" style="208" bestFit="1" customWidth="1"/>
    <col min="6154" max="6154" width="20.44140625" style="208" customWidth="1"/>
    <col min="6155" max="6155" width="15.6640625" style="208" bestFit="1" customWidth="1"/>
    <col min="6156" max="6156" width="20.6640625" style="208" bestFit="1" customWidth="1"/>
    <col min="6157" max="6157" width="16.109375" style="208" bestFit="1" customWidth="1"/>
    <col min="6158" max="6158" width="18" style="208" bestFit="1" customWidth="1"/>
    <col min="6159" max="6159" width="10.6640625" style="208" bestFit="1" customWidth="1"/>
    <col min="6160" max="6160" width="16.33203125" style="208" bestFit="1" customWidth="1"/>
    <col min="6161" max="6161" width="25.33203125" style="208" customWidth="1"/>
    <col min="6162" max="6162" width="16.33203125" style="208" bestFit="1" customWidth="1"/>
    <col min="6163" max="6401" width="9.109375" style="208"/>
    <col min="6402" max="6402" width="16.6640625" style="208" customWidth="1"/>
    <col min="6403" max="6403" width="28.6640625" style="208" customWidth="1"/>
    <col min="6404" max="6404" width="21.109375" style="208" bestFit="1" customWidth="1"/>
    <col min="6405" max="6405" width="15.6640625" style="208" bestFit="1" customWidth="1"/>
    <col min="6406" max="6406" width="22.44140625" style="208" bestFit="1" customWidth="1"/>
    <col min="6407" max="6407" width="23" style="208" customWidth="1"/>
    <col min="6408" max="6408" width="22.44140625" style="208" bestFit="1" customWidth="1"/>
    <col min="6409" max="6409" width="23.44140625" style="208" bestFit="1" customWidth="1"/>
    <col min="6410" max="6410" width="20.44140625" style="208" customWidth="1"/>
    <col min="6411" max="6411" width="15.6640625" style="208" bestFit="1" customWidth="1"/>
    <col min="6412" max="6412" width="20.6640625" style="208" bestFit="1" customWidth="1"/>
    <col min="6413" max="6413" width="16.109375" style="208" bestFit="1" customWidth="1"/>
    <col min="6414" max="6414" width="18" style="208" bestFit="1" customWidth="1"/>
    <col min="6415" max="6415" width="10.6640625" style="208" bestFit="1" customWidth="1"/>
    <col min="6416" max="6416" width="16.33203125" style="208" bestFit="1" customWidth="1"/>
    <col min="6417" max="6417" width="25.33203125" style="208" customWidth="1"/>
    <col min="6418" max="6418" width="16.33203125" style="208" bestFit="1" customWidth="1"/>
    <col min="6419" max="6657" width="9.109375" style="208"/>
    <col min="6658" max="6658" width="16.6640625" style="208" customWidth="1"/>
    <col min="6659" max="6659" width="28.6640625" style="208" customWidth="1"/>
    <col min="6660" max="6660" width="21.109375" style="208" bestFit="1" customWidth="1"/>
    <col min="6661" max="6661" width="15.6640625" style="208" bestFit="1" customWidth="1"/>
    <col min="6662" max="6662" width="22.44140625" style="208" bestFit="1" customWidth="1"/>
    <col min="6663" max="6663" width="23" style="208" customWidth="1"/>
    <col min="6664" max="6664" width="22.44140625" style="208" bestFit="1" customWidth="1"/>
    <col min="6665" max="6665" width="23.44140625" style="208" bestFit="1" customWidth="1"/>
    <col min="6666" max="6666" width="20.44140625" style="208" customWidth="1"/>
    <col min="6667" max="6667" width="15.6640625" style="208" bestFit="1" customWidth="1"/>
    <col min="6668" max="6668" width="20.6640625" style="208" bestFit="1" customWidth="1"/>
    <col min="6669" max="6669" width="16.109375" style="208" bestFit="1" customWidth="1"/>
    <col min="6670" max="6670" width="18" style="208" bestFit="1" customWidth="1"/>
    <col min="6671" max="6671" width="10.6640625" style="208" bestFit="1" customWidth="1"/>
    <col min="6672" max="6672" width="16.33203125" style="208" bestFit="1" customWidth="1"/>
    <col min="6673" max="6673" width="25.33203125" style="208" customWidth="1"/>
    <col min="6674" max="6674" width="16.33203125" style="208" bestFit="1" customWidth="1"/>
    <col min="6675" max="6913" width="9.109375" style="208"/>
    <col min="6914" max="6914" width="16.6640625" style="208" customWidth="1"/>
    <col min="6915" max="6915" width="28.6640625" style="208" customWidth="1"/>
    <col min="6916" max="6916" width="21.109375" style="208" bestFit="1" customWidth="1"/>
    <col min="6917" max="6917" width="15.6640625" style="208" bestFit="1" customWidth="1"/>
    <col min="6918" max="6918" width="22.44140625" style="208" bestFit="1" customWidth="1"/>
    <col min="6919" max="6919" width="23" style="208" customWidth="1"/>
    <col min="6920" max="6920" width="22.44140625" style="208" bestFit="1" customWidth="1"/>
    <col min="6921" max="6921" width="23.44140625" style="208" bestFit="1" customWidth="1"/>
    <col min="6922" max="6922" width="20.44140625" style="208" customWidth="1"/>
    <col min="6923" max="6923" width="15.6640625" style="208" bestFit="1" customWidth="1"/>
    <col min="6924" max="6924" width="20.6640625" style="208" bestFit="1" customWidth="1"/>
    <col min="6925" max="6925" width="16.109375" style="208" bestFit="1" customWidth="1"/>
    <col min="6926" max="6926" width="18" style="208" bestFit="1" customWidth="1"/>
    <col min="6927" max="6927" width="10.6640625" style="208" bestFit="1" customWidth="1"/>
    <col min="6928" max="6928" width="16.33203125" style="208" bestFit="1" customWidth="1"/>
    <col min="6929" max="6929" width="25.33203125" style="208" customWidth="1"/>
    <col min="6930" max="6930" width="16.33203125" style="208" bestFit="1" customWidth="1"/>
    <col min="6931" max="7169" width="9.109375" style="208"/>
    <col min="7170" max="7170" width="16.6640625" style="208" customWidth="1"/>
    <col min="7171" max="7171" width="28.6640625" style="208" customWidth="1"/>
    <col min="7172" max="7172" width="21.109375" style="208" bestFit="1" customWidth="1"/>
    <col min="7173" max="7173" width="15.6640625" style="208" bestFit="1" customWidth="1"/>
    <col min="7174" max="7174" width="22.44140625" style="208" bestFit="1" customWidth="1"/>
    <col min="7175" max="7175" width="23" style="208" customWidth="1"/>
    <col min="7176" max="7176" width="22.44140625" style="208" bestFit="1" customWidth="1"/>
    <col min="7177" max="7177" width="23.44140625" style="208" bestFit="1" customWidth="1"/>
    <col min="7178" max="7178" width="20.44140625" style="208" customWidth="1"/>
    <col min="7179" max="7179" width="15.6640625" style="208" bestFit="1" customWidth="1"/>
    <col min="7180" max="7180" width="20.6640625" style="208" bestFit="1" customWidth="1"/>
    <col min="7181" max="7181" width="16.109375" style="208" bestFit="1" customWidth="1"/>
    <col min="7182" max="7182" width="18" style="208" bestFit="1" customWidth="1"/>
    <col min="7183" max="7183" width="10.6640625" style="208" bestFit="1" customWidth="1"/>
    <col min="7184" max="7184" width="16.33203125" style="208" bestFit="1" customWidth="1"/>
    <col min="7185" max="7185" width="25.33203125" style="208" customWidth="1"/>
    <col min="7186" max="7186" width="16.33203125" style="208" bestFit="1" customWidth="1"/>
    <col min="7187" max="7425" width="9.109375" style="208"/>
    <col min="7426" max="7426" width="16.6640625" style="208" customWidth="1"/>
    <col min="7427" max="7427" width="28.6640625" style="208" customWidth="1"/>
    <col min="7428" max="7428" width="21.109375" style="208" bestFit="1" customWidth="1"/>
    <col min="7429" max="7429" width="15.6640625" style="208" bestFit="1" customWidth="1"/>
    <col min="7430" max="7430" width="22.44140625" style="208" bestFit="1" customWidth="1"/>
    <col min="7431" max="7431" width="23" style="208" customWidth="1"/>
    <col min="7432" max="7432" width="22.44140625" style="208" bestFit="1" customWidth="1"/>
    <col min="7433" max="7433" width="23.44140625" style="208" bestFit="1" customWidth="1"/>
    <col min="7434" max="7434" width="20.44140625" style="208" customWidth="1"/>
    <col min="7435" max="7435" width="15.6640625" style="208" bestFit="1" customWidth="1"/>
    <col min="7436" max="7436" width="20.6640625" style="208" bestFit="1" customWidth="1"/>
    <col min="7437" max="7437" width="16.109375" style="208" bestFit="1" customWidth="1"/>
    <col min="7438" max="7438" width="18" style="208" bestFit="1" customWidth="1"/>
    <col min="7439" max="7439" width="10.6640625" style="208" bestFit="1" customWidth="1"/>
    <col min="7440" max="7440" width="16.33203125" style="208" bestFit="1" customWidth="1"/>
    <col min="7441" max="7441" width="25.33203125" style="208" customWidth="1"/>
    <col min="7442" max="7442" width="16.33203125" style="208" bestFit="1" customWidth="1"/>
    <col min="7443" max="7681" width="9.109375" style="208"/>
    <col min="7682" max="7682" width="16.6640625" style="208" customWidth="1"/>
    <col min="7683" max="7683" width="28.6640625" style="208" customWidth="1"/>
    <col min="7684" max="7684" width="21.109375" style="208" bestFit="1" customWidth="1"/>
    <col min="7685" max="7685" width="15.6640625" style="208" bestFit="1" customWidth="1"/>
    <col min="7686" max="7686" width="22.44140625" style="208" bestFit="1" customWidth="1"/>
    <col min="7687" max="7687" width="23" style="208" customWidth="1"/>
    <col min="7688" max="7688" width="22.44140625" style="208" bestFit="1" customWidth="1"/>
    <col min="7689" max="7689" width="23.44140625" style="208" bestFit="1" customWidth="1"/>
    <col min="7690" max="7690" width="20.44140625" style="208" customWidth="1"/>
    <col min="7691" max="7691" width="15.6640625" style="208" bestFit="1" customWidth="1"/>
    <col min="7692" max="7692" width="20.6640625" style="208" bestFit="1" customWidth="1"/>
    <col min="7693" max="7693" width="16.109375" style="208" bestFit="1" customWidth="1"/>
    <col min="7694" max="7694" width="18" style="208" bestFit="1" customWidth="1"/>
    <col min="7695" max="7695" width="10.6640625" style="208" bestFit="1" customWidth="1"/>
    <col min="7696" max="7696" width="16.33203125" style="208" bestFit="1" customWidth="1"/>
    <col min="7697" max="7697" width="25.33203125" style="208" customWidth="1"/>
    <col min="7698" max="7698" width="16.33203125" style="208" bestFit="1" customWidth="1"/>
    <col min="7699" max="7937" width="9.109375" style="208"/>
    <col min="7938" max="7938" width="16.6640625" style="208" customWidth="1"/>
    <col min="7939" max="7939" width="28.6640625" style="208" customWidth="1"/>
    <col min="7940" max="7940" width="21.109375" style="208" bestFit="1" customWidth="1"/>
    <col min="7941" max="7941" width="15.6640625" style="208" bestFit="1" customWidth="1"/>
    <col min="7942" max="7942" width="22.44140625" style="208" bestFit="1" customWidth="1"/>
    <col min="7943" max="7943" width="23" style="208" customWidth="1"/>
    <col min="7944" max="7944" width="22.44140625" style="208" bestFit="1" customWidth="1"/>
    <col min="7945" max="7945" width="23.44140625" style="208" bestFit="1" customWidth="1"/>
    <col min="7946" max="7946" width="20.44140625" style="208" customWidth="1"/>
    <col min="7947" max="7947" width="15.6640625" style="208" bestFit="1" customWidth="1"/>
    <col min="7948" max="7948" width="20.6640625" style="208" bestFit="1" customWidth="1"/>
    <col min="7949" max="7949" width="16.109375" style="208" bestFit="1" customWidth="1"/>
    <col min="7950" max="7950" width="18" style="208" bestFit="1" customWidth="1"/>
    <col min="7951" max="7951" width="10.6640625" style="208" bestFit="1" customWidth="1"/>
    <col min="7952" max="7952" width="16.33203125" style="208" bestFit="1" customWidth="1"/>
    <col min="7953" max="7953" width="25.33203125" style="208" customWidth="1"/>
    <col min="7954" max="7954" width="16.33203125" style="208" bestFit="1" customWidth="1"/>
    <col min="7955" max="8193" width="9.109375" style="208"/>
    <col min="8194" max="8194" width="16.6640625" style="208" customWidth="1"/>
    <col min="8195" max="8195" width="28.6640625" style="208" customWidth="1"/>
    <col min="8196" max="8196" width="21.109375" style="208" bestFit="1" customWidth="1"/>
    <col min="8197" max="8197" width="15.6640625" style="208" bestFit="1" customWidth="1"/>
    <col min="8198" max="8198" width="22.44140625" style="208" bestFit="1" customWidth="1"/>
    <col min="8199" max="8199" width="23" style="208" customWidth="1"/>
    <col min="8200" max="8200" width="22.44140625" style="208" bestFit="1" customWidth="1"/>
    <col min="8201" max="8201" width="23.44140625" style="208" bestFit="1" customWidth="1"/>
    <col min="8202" max="8202" width="20.44140625" style="208" customWidth="1"/>
    <col min="8203" max="8203" width="15.6640625" style="208" bestFit="1" customWidth="1"/>
    <col min="8204" max="8204" width="20.6640625" style="208" bestFit="1" customWidth="1"/>
    <col min="8205" max="8205" width="16.109375" style="208" bestFit="1" customWidth="1"/>
    <col min="8206" max="8206" width="18" style="208" bestFit="1" customWidth="1"/>
    <col min="8207" max="8207" width="10.6640625" style="208" bestFit="1" customWidth="1"/>
    <col min="8208" max="8208" width="16.33203125" style="208" bestFit="1" customWidth="1"/>
    <col min="8209" max="8209" width="25.33203125" style="208" customWidth="1"/>
    <col min="8210" max="8210" width="16.33203125" style="208" bestFit="1" customWidth="1"/>
    <col min="8211" max="8449" width="9.109375" style="208"/>
    <col min="8450" max="8450" width="16.6640625" style="208" customWidth="1"/>
    <col min="8451" max="8451" width="28.6640625" style="208" customWidth="1"/>
    <col min="8452" max="8452" width="21.109375" style="208" bestFit="1" customWidth="1"/>
    <col min="8453" max="8453" width="15.6640625" style="208" bestFit="1" customWidth="1"/>
    <col min="8454" max="8454" width="22.44140625" style="208" bestFit="1" customWidth="1"/>
    <col min="8455" max="8455" width="23" style="208" customWidth="1"/>
    <col min="8456" max="8456" width="22.44140625" style="208" bestFit="1" customWidth="1"/>
    <col min="8457" max="8457" width="23.44140625" style="208" bestFit="1" customWidth="1"/>
    <col min="8458" max="8458" width="20.44140625" style="208" customWidth="1"/>
    <col min="8459" max="8459" width="15.6640625" style="208" bestFit="1" customWidth="1"/>
    <col min="8460" max="8460" width="20.6640625" style="208" bestFit="1" customWidth="1"/>
    <col min="8461" max="8461" width="16.109375" style="208" bestFit="1" customWidth="1"/>
    <col min="8462" max="8462" width="18" style="208" bestFit="1" customWidth="1"/>
    <col min="8463" max="8463" width="10.6640625" style="208" bestFit="1" customWidth="1"/>
    <col min="8464" max="8464" width="16.33203125" style="208" bestFit="1" customWidth="1"/>
    <col min="8465" max="8465" width="25.33203125" style="208" customWidth="1"/>
    <col min="8466" max="8466" width="16.33203125" style="208" bestFit="1" customWidth="1"/>
    <col min="8467" max="8705" width="9.109375" style="208"/>
    <col min="8706" max="8706" width="16.6640625" style="208" customWidth="1"/>
    <col min="8707" max="8707" width="28.6640625" style="208" customWidth="1"/>
    <col min="8708" max="8708" width="21.109375" style="208" bestFit="1" customWidth="1"/>
    <col min="8709" max="8709" width="15.6640625" style="208" bestFit="1" customWidth="1"/>
    <col min="8710" max="8710" width="22.44140625" style="208" bestFit="1" customWidth="1"/>
    <col min="8711" max="8711" width="23" style="208" customWidth="1"/>
    <col min="8712" max="8712" width="22.44140625" style="208" bestFit="1" customWidth="1"/>
    <col min="8713" max="8713" width="23.44140625" style="208" bestFit="1" customWidth="1"/>
    <col min="8714" max="8714" width="20.44140625" style="208" customWidth="1"/>
    <col min="8715" max="8715" width="15.6640625" style="208" bestFit="1" customWidth="1"/>
    <col min="8716" max="8716" width="20.6640625" style="208" bestFit="1" customWidth="1"/>
    <col min="8717" max="8717" width="16.109375" style="208" bestFit="1" customWidth="1"/>
    <col min="8718" max="8718" width="18" style="208" bestFit="1" customWidth="1"/>
    <col min="8719" max="8719" width="10.6640625" style="208" bestFit="1" customWidth="1"/>
    <col min="8720" max="8720" width="16.33203125" style="208" bestFit="1" customWidth="1"/>
    <col min="8721" max="8721" width="25.33203125" style="208" customWidth="1"/>
    <col min="8722" max="8722" width="16.33203125" style="208" bestFit="1" customWidth="1"/>
    <col min="8723" max="8961" width="9.109375" style="208"/>
    <col min="8962" max="8962" width="16.6640625" style="208" customWidth="1"/>
    <col min="8963" max="8963" width="28.6640625" style="208" customWidth="1"/>
    <col min="8964" max="8964" width="21.109375" style="208" bestFit="1" customWidth="1"/>
    <col min="8965" max="8965" width="15.6640625" style="208" bestFit="1" customWidth="1"/>
    <col min="8966" max="8966" width="22.44140625" style="208" bestFit="1" customWidth="1"/>
    <col min="8967" max="8967" width="23" style="208" customWidth="1"/>
    <col min="8968" max="8968" width="22.44140625" style="208" bestFit="1" customWidth="1"/>
    <col min="8969" max="8969" width="23.44140625" style="208" bestFit="1" customWidth="1"/>
    <col min="8970" max="8970" width="20.44140625" style="208" customWidth="1"/>
    <col min="8971" max="8971" width="15.6640625" style="208" bestFit="1" customWidth="1"/>
    <col min="8972" max="8972" width="20.6640625" style="208" bestFit="1" customWidth="1"/>
    <col min="8973" max="8973" width="16.109375" style="208" bestFit="1" customWidth="1"/>
    <col min="8974" max="8974" width="18" style="208" bestFit="1" customWidth="1"/>
    <col min="8975" max="8975" width="10.6640625" style="208" bestFit="1" customWidth="1"/>
    <col min="8976" max="8976" width="16.33203125" style="208" bestFit="1" customWidth="1"/>
    <col min="8977" max="8977" width="25.33203125" style="208" customWidth="1"/>
    <col min="8978" max="8978" width="16.33203125" style="208" bestFit="1" customWidth="1"/>
    <col min="8979" max="9217" width="9.109375" style="208"/>
    <col min="9218" max="9218" width="16.6640625" style="208" customWidth="1"/>
    <col min="9219" max="9219" width="28.6640625" style="208" customWidth="1"/>
    <col min="9220" max="9220" width="21.109375" style="208" bestFit="1" customWidth="1"/>
    <col min="9221" max="9221" width="15.6640625" style="208" bestFit="1" customWidth="1"/>
    <col min="9222" max="9222" width="22.44140625" style="208" bestFit="1" customWidth="1"/>
    <col min="9223" max="9223" width="23" style="208" customWidth="1"/>
    <col min="9224" max="9224" width="22.44140625" style="208" bestFit="1" customWidth="1"/>
    <col min="9225" max="9225" width="23.44140625" style="208" bestFit="1" customWidth="1"/>
    <col min="9226" max="9226" width="20.44140625" style="208" customWidth="1"/>
    <col min="9227" max="9227" width="15.6640625" style="208" bestFit="1" customWidth="1"/>
    <col min="9228" max="9228" width="20.6640625" style="208" bestFit="1" customWidth="1"/>
    <col min="9229" max="9229" width="16.109375" style="208" bestFit="1" customWidth="1"/>
    <col min="9230" max="9230" width="18" style="208" bestFit="1" customWidth="1"/>
    <col min="9231" max="9231" width="10.6640625" style="208" bestFit="1" customWidth="1"/>
    <col min="9232" max="9232" width="16.33203125" style="208" bestFit="1" customWidth="1"/>
    <col min="9233" max="9233" width="25.33203125" style="208" customWidth="1"/>
    <col min="9234" max="9234" width="16.33203125" style="208" bestFit="1" customWidth="1"/>
    <col min="9235" max="9473" width="9.109375" style="208"/>
    <col min="9474" max="9474" width="16.6640625" style="208" customWidth="1"/>
    <col min="9475" max="9475" width="28.6640625" style="208" customWidth="1"/>
    <col min="9476" max="9476" width="21.109375" style="208" bestFit="1" customWidth="1"/>
    <col min="9477" max="9477" width="15.6640625" style="208" bestFit="1" customWidth="1"/>
    <col min="9478" max="9478" width="22.44140625" style="208" bestFit="1" customWidth="1"/>
    <col min="9479" max="9479" width="23" style="208" customWidth="1"/>
    <col min="9480" max="9480" width="22.44140625" style="208" bestFit="1" customWidth="1"/>
    <col min="9481" max="9481" width="23.44140625" style="208" bestFit="1" customWidth="1"/>
    <col min="9482" max="9482" width="20.44140625" style="208" customWidth="1"/>
    <col min="9483" max="9483" width="15.6640625" style="208" bestFit="1" customWidth="1"/>
    <col min="9484" max="9484" width="20.6640625" style="208" bestFit="1" customWidth="1"/>
    <col min="9485" max="9485" width="16.109375" style="208" bestFit="1" customWidth="1"/>
    <col min="9486" max="9486" width="18" style="208" bestFit="1" customWidth="1"/>
    <col min="9487" max="9487" width="10.6640625" style="208" bestFit="1" customWidth="1"/>
    <col min="9488" max="9488" width="16.33203125" style="208" bestFit="1" customWidth="1"/>
    <col min="9489" max="9489" width="25.33203125" style="208" customWidth="1"/>
    <col min="9490" max="9490" width="16.33203125" style="208" bestFit="1" customWidth="1"/>
    <col min="9491" max="9729" width="9.109375" style="208"/>
    <col min="9730" max="9730" width="16.6640625" style="208" customWidth="1"/>
    <col min="9731" max="9731" width="28.6640625" style="208" customWidth="1"/>
    <col min="9732" max="9732" width="21.109375" style="208" bestFit="1" customWidth="1"/>
    <col min="9733" max="9733" width="15.6640625" style="208" bestFit="1" customWidth="1"/>
    <col min="9734" max="9734" width="22.44140625" style="208" bestFit="1" customWidth="1"/>
    <col min="9735" max="9735" width="23" style="208" customWidth="1"/>
    <col min="9736" max="9736" width="22.44140625" style="208" bestFit="1" customWidth="1"/>
    <col min="9737" max="9737" width="23.44140625" style="208" bestFit="1" customWidth="1"/>
    <col min="9738" max="9738" width="20.44140625" style="208" customWidth="1"/>
    <col min="9739" max="9739" width="15.6640625" style="208" bestFit="1" customWidth="1"/>
    <col min="9740" max="9740" width="20.6640625" style="208" bestFit="1" customWidth="1"/>
    <col min="9741" max="9741" width="16.109375" style="208" bestFit="1" customWidth="1"/>
    <col min="9742" max="9742" width="18" style="208" bestFit="1" customWidth="1"/>
    <col min="9743" max="9743" width="10.6640625" style="208" bestFit="1" customWidth="1"/>
    <col min="9744" max="9744" width="16.33203125" style="208" bestFit="1" customWidth="1"/>
    <col min="9745" max="9745" width="25.33203125" style="208" customWidth="1"/>
    <col min="9746" max="9746" width="16.33203125" style="208" bestFit="1" customWidth="1"/>
    <col min="9747" max="9985" width="9.109375" style="208"/>
    <col min="9986" max="9986" width="16.6640625" style="208" customWidth="1"/>
    <col min="9987" max="9987" width="28.6640625" style="208" customWidth="1"/>
    <col min="9988" max="9988" width="21.109375" style="208" bestFit="1" customWidth="1"/>
    <col min="9989" max="9989" width="15.6640625" style="208" bestFit="1" customWidth="1"/>
    <col min="9990" max="9990" width="22.44140625" style="208" bestFit="1" customWidth="1"/>
    <col min="9991" max="9991" width="23" style="208" customWidth="1"/>
    <col min="9992" max="9992" width="22.44140625" style="208" bestFit="1" customWidth="1"/>
    <col min="9993" max="9993" width="23.44140625" style="208" bestFit="1" customWidth="1"/>
    <col min="9994" max="9994" width="20.44140625" style="208" customWidth="1"/>
    <col min="9995" max="9995" width="15.6640625" style="208" bestFit="1" customWidth="1"/>
    <col min="9996" max="9996" width="20.6640625" style="208" bestFit="1" customWidth="1"/>
    <col min="9997" max="9997" width="16.109375" style="208" bestFit="1" customWidth="1"/>
    <col min="9998" max="9998" width="18" style="208" bestFit="1" customWidth="1"/>
    <col min="9999" max="9999" width="10.6640625" style="208" bestFit="1" customWidth="1"/>
    <col min="10000" max="10000" width="16.33203125" style="208" bestFit="1" customWidth="1"/>
    <col min="10001" max="10001" width="25.33203125" style="208" customWidth="1"/>
    <col min="10002" max="10002" width="16.33203125" style="208" bestFit="1" customWidth="1"/>
    <col min="10003" max="10241" width="9.109375" style="208"/>
    <col min="10242" max="10242" width="16.6640625" style="208" customWidth="1"/>
    <col min="10243" max="10243" width="28.6640625" style="208" customWidth="1"/>
    <col min="10244" max="10244" width="21.109375" style="208" bestFit="1" customWidth="1"/>
    <col min="10245" max="10245" width="15.6640625" style="208" bestFit="1" customWidth="1"/>
    <col min="10246" max="10246" width="22.44140625" style="208" bestFit="1" customWidth="1"/>
    <col min="10247" max="10247" width="23" style="208" customWidth="1"/>
    <col min="10248" max="10248" width="22.44140625" style="208" bestFit="1" customWidth="1"/>
    <col min="10249" max="10249" width="23.44140625" style="208" bestFit="1" customWidth="1"/>
    <col min="10250" max="10250" width="20.44140625" style="208" customWidth="1"/>
    <col min="10251" max="10251" width="15.6640625" style="208" bestFit="1" customWidth="1"/>
    <col min="10252" max="10252" width="20.6640625" style="208" bestFit="1" customWidth="1"/>
    <col min="10253" max="10253" width="16.109375" style="208" bestFit="1" customWidth="1"/>
    <col min="10254" max="10254" width="18" style="208" bestFit="1" customWidth="1"/>
    <col min="10255" max="10255" width="10.6640625" style="208" bestFit="1" customWidth="1"/>
    <col min="10256" max="10256" width="16.33203125" style="208" bestFit="1" customWidth="1"/>
    <col min="10257" max="10257" width="25.33203125" style="208" customWidth="1"/>
    <col min="10258" max="10258" width="16.33203125" style="208" bestFit="1" customWidth="1"/>
    <col min="10259" max="10497" width="9.109375" style="208"/>
    <col min="10498" max="10498" width="16.6640625" style="208" customWidth="1"/>
    <col min="10499" max="10499" width="28.6640625" style="208" customWidth="1"/>
    <col min="10500" max="10500" width="21.109375" style="208" bestFit="1" customWidth="1"/>
    <col min="10501" max="10501" width="15.6640625" style="208" bestFit="1" customWidth="1"/>
    <col min="10502" max="10502" width="22.44140625" style="208" bestFit="1" customWidth="1"/>
    <col min="10503" max="10503" width="23" style="208" customWidth="1"/>
    <col min="10504" max="10504" width="22.44140625" style="208" bestFit="1" customWidth="1"/>
    <col min="10505" max="10505" width="23.44140625" style="208" bestFit="1" customWidth="1"/>
    <col min="10506" max="10506" width="20.44140625" style="208" customWidth="1"/>
    <col min="10507" max="10507" width="15.6640625" style="208" bestFit="1" customWidth="1"/>
    <col min="10508" max="10508" width="20.6640625" style="208" bestFit="1" customWidth="1"/>
    <col min="10509" max="10509" width="16.109375" style="208" bestFit="1" customWidth="1"/>
    <col min="10510" max="10510" width="18" style="208" bestFit="1" customWidth="1"/>
    <col min="10511" max="10511" width="10.6640625" style="208" bestFit="1" customWidth="1"/>
    <col min="10512" max="10512" width="16.33203125" style="208" bestFit="1" customWidth="1"/>
    <col min="10513" max="10513" width="25.33203125" style="208" customWidth="1"/>
    <col min="10514" max="10514" width="16.33203125" style="208" bestFit="1" customWidth="1"/>
    <col min="10515" max="10753" width="9.109375" style="208"/>
    <col min="10754" max="10754" width="16.6640625" style="208" customWidth="1"/>
    <col min="10755" max="10755" width="28.6640625" style="208" customWidth="1"/>
    <col min="10756" max="10756" width="21.109375" style="208" bestFit="1" customWidth="1"/>
    <col min="10757" max="10757" width="15.6640625" style="208" bestFit="1" customWidth="1"/>
    <col min="10758" max="10758" width="22.44140625" style="208" bestFit="1" customWidth="1"/>
    <col min="10759" max="10759" width="23" style="208" customWidth="1"/>
    <col min="10760" max="10760" width="22.44140625" style="208" bestFit="1" customWidth="1"/>
    <col min="10761" max="10761" width="23.44140625" style="208" bestFit="1" customWidth="1"/>
    <col min="10762" max="10762" width="20.44140625" style="208" customWidth="1"/>
    <col min="10763" max="10763" width="15.6640625" style="208" bestFit="1" customWidth="1"/>
    <col min="10764" max="10764" width="20.6640625" style="208" bestFit="1" customWidth="1"/>
    <col min="10765" max="10765" width="16.109375" style="208" bestFit="1" customWidth="1"/>
    <col min="10766" max="10766" width="18" style="208" bestFit="1" customWidth="1"/>
    <col min="10767" max="10767" width="10.6640625" style="208" bestFit="1" customWidth="1"/>
    <col min="10768" max="10768" width="16.33203125" style="208" bestFit="1" customWidth="1"/>
    <col min="10769" max="10769" width="25.33203125" style="208" customWidth="1"/>
    <col min="10770" max="10770" width="16.33203125" style="208" bestFit="1" customWidth="1"/>
    <col min="10771" max="11009" width="9.109375" style="208"/>
    <col min="11010" max="11010" width="16.6640625" style="208" customWidth="1"/>
    <col min="11011" max="11011" width="28.6640625" style="208" customWidth="1"/>
    <col min="11012" max="11012" width="21.109375" style="208" bestFit="1" customWidth="1"/>
    <col min="11013" max="11013" width="15.6640625" style="208" bestFit="1" customWidth="1"/>
    <col min="11014" max="11014" width="22.44140625" style="208" bestFit="1" customWidth="1"/>
    <col min="11015" max="11015" width="23" style="208" customWidth="1"/>
    <col min="11016" max="11016" width="22.44140625" style="208" bestFit="1" customWidth="1"/>
    <col min="11017" max="11017" width="23.44140625" style="208" bestFit="1" customWidth="1"/>
    <col min="11018" max="11018" width="20.44140625" style="208" customWidth="1"/>
    <col min="11019" max="11019" width="15.6640625" style="208" bestFit="1" customWidth="1"/>
    <col min="11020" max="11020" width="20.6640625" style="208" bestFit="1" customWidth="1"/>
    <col min="11021" max="11021" width="16.109375" style="208" bestFit="1" customWidth="1"/>
    <col min="11022" max="11022" width="18" style="208" bestFit="1" customWidth="1"/>
    <col min="11023" max="11023" width="10.6640625" style="208" bestFit="1" customWidth="1"/>
    <col min="11024" max="11024" width="16.33203125" style="208" bestFit="1" customWidth="1"/>
    <col min="11025" max="11025" width="25.33203125" style="208" customWidth="1"/>
    <col min="11026" max="11026" width="16.33203125" style="208" bestFit="1" customWidth="1"/>
    <col min="11027" max="11265" width="9.109375" style="208"/>
    <col min="11266" max="11266" width="16.6640625" style="208" customWidth="1"/>
    <col min="11267" max="11267" width="28.6640625" style="208" customWidth="1"/>
    <col min="11268" max="11268" width="21.109375" style="208" bestFit="1" customWidth="1"/>
    <col min="11269" max="11269" width="15.6640625" style="208" bestFit="1" customWidth="1"/>
    <col min="11270" max="11270" width="22.44140625" style="208" bestFit="1" customWidth="1"/>
    <col min="11271" max="11271" width="23" style="208" customWidth="1"/>
    <col min="11272" max="11272" width="22.44140625" style="208" bestFit="1" customWidth="1"/>
    <col min="11273" max="11273" width="23.44140625" style="208" bestFit="1" customWidth="1"/>
    <col min="11274" max="11274" width="20.44140625" style="208" customWidth="1"/>
    <col min="11275" max="11275" width="15.6640625" style="208" bestFit="1" customWidth="1"/>
    <col min="11276" max="11276" width="20.6640625" style="208" bestFit="1" customWidth="1"/>
    <col min="11277" max="11277" width="16.109375" style="208" bestFit="1" customWidth="1"/>
    <col min="11278" max="11278" width="18" style="208" bestFit="1" customWidth="1"/>
    <col min="11279" max="11279" width="10.6640625" style="208" bestFit="1" customWidth="1"/>
    <col min="11280" max="11280" width="16.33203125" style="208" bestFit="1" customWidth="1"/>
    <col min="11281" max="11281" width="25.33203125" style="208" customWidth="1"/>
    <col min="11282" max="11282" width="16.33203125" style="208" bestFit="1" customWidth="1"/>
    <col min="11283" max="11521" width="9.109375" style="208"/>
    <col min="11522" max="11522" width="16.6640625" style="208" customWidth="1"/>
    <col min="11523" max="11523" width="28.6640625" style="208" customWidth="1"/>
    <col min="11524" max="11524" width="21.109375" style="208" bestFit="1" customWidth="1"/>
    <col min="11525" max="11525" width="15.6640625" style="208" bestFit="1" customWidth="1"/>
    <col min="11526" max="11526" width="22.44140625" style="208" bestFit="1" customWidth="1"/>
    <col min="11527" max="11527" width="23" style="208" customWidth="1"/>
    <col min="11528" max="11528" width="22.44140625" style="208" bestFit="1" customWidth="1"/>
    <col min="11529" max="11529" width="23.44140625" style="208" bestFit="1" customWidth="1"/>
    <col min="11530" max="11530" width="20.44140625" style="208" customWidth="1"/>
    <col min="11531" max="11531" width="15.6640625" style="208" bestFit="1" customWidth="1"/>
    <col min="11532" max="11532" width="20.6640625" style="208" bestFit="1" customWidth="1"/>
    <col min="11533" max="11533" width="16.109375" style="208" bestFit="1" customWidth="1"/>
    <col min="11534" max="11534" width="18" style="208" bestFit="1" customWidth="1"/>
    <col min="11535" max="11535" width="10.6640625" style="208" bestFit="1" customWidth="1"/>
    <col min="11536" max="11536" width="16.33203125" style="208" bestFit="1" customWidth="1"/>
    <col min="11537" max="11537" width="25.33203125" style="208" customWidth="1"/>
    <col min="11538" max="11538" width="16.33203125" style="208" bestFit="1" customWidth="1"/>
    <col min="11539" max="11777" width="9.109375" style="208"/>
    <col min="11778" max="11778" width="16.6640625" style="208" customWidth="1"/>
    <col min="11779" max="11779" width="28.6640625" style="208" customWidth="1"/>
    <col min="11780" max="11780" width="21.109375" style="208" bestFit="1" customWidth="1"/>
    <col min="11781" max="11781" width="15.6640625" style="208" bestFit="1" customWidth="1"/>
    <col min="11782" max="11782" width="22.44140625" style="208" bestFit="1" customWidth="1"/>
    <col min="11783" max="11783" width="23" style="208" customWidth="1"/>
    <col min="11784" max="11784" width="22.44140625" style="208" bestFit="1" customWidth="1"/>
    <col min="11785" max="11785" width="23.44140625" style="208" bestFit="1" customWidth="1"/>
    <col min="11786" max="11786" width="20.44140625" style="208" customWidth="1"/>
    <col min="11787" max="11787" width="15.6640625" style="208" bestFit="1" customWidth="1"/>
    <col min="11788" max="11788" width="20.6640625" style="208" bestFit="1" customWidth="1"/>
    <col min="11789" max="11789" width="16.109375" style="208" bestFit="1" customWidth="1"/>
    <col min="11790" max="11790" width="18" style="208" bestFit="1" customWidth="1"/>
    <col min="11791" max="11791" width="10.6640625" style="208" bestFit="1" customWidth="1"/>
    <col min="11792" max="11792" width="16.33203125" style="208" bestFit="1" customWidth="1"/>
    <col min="11793" max="11793" width="25.33203125" style="208" customWidth="1"/>
    <col min="11794" max="11794" width="16.33203125" style="208" bestFit="1" customWidth="1"/>
    <col min="11795" max="12033" width="9.109375" style="208"/>
    <col min="12034" max="12034" width="16.6640625" style="208" customWidth="1"/>
    <col min="12035" max="12035" width="28.6640625" style="208" customWidth="1"/>
    <col min="12036" max="12036" width="21.109375" style="208" bestFit="1" customWidth="1"/>
    <col min="12037" max="12037" width="15.6640625" style="208" bestFit="1" customWidth="1"/>
    <col min="12038" max="12038" width="22.44140625" style="208" bestFit="1" customWidth="1"/>
    <col min="12039" max="12039" width="23" style="208" customWidth="1"/>
    <col min="12040" max="12040" width="22.44140625" style="208" bestFit="1" customWidth="1"/>
    <col min="12041" max="12041" width="23.44140625" style="208" bestFit="1" customWidth="1"/>
    <col min="12042" max="12042" width="20.44140625" style="208" customWidth="1"/>
    <col min="12043" max="12043" width="15.6640625" style="208" bestFit="1" customWidth="1"/>
    <col min="12044" max="12044" width="20.6640625" style="208" bestFit="1" customWidth="1"/>
    <col min="12045" max="12045" width="16.109375" style="208" bestFit="1" customWidth="1"/>
    <col min="12046" max="12046" width="18" style="208" bestFit="1" customWidth="1"/>
    <col min="12047" max="12047" width="10.6640625" style="208" bestFit="1" customWidth="1"/>
    <col min="12048" max="12048" width="16.33203125" style="208" bestFit="1" customWidth="1"/>
    <col min="12049" max="12049" width="25.33203125" style="208" customWidth="1"/>
    <col min="12050" max="12050" width="16.33203125" style="208" bestFit="1" customWidth="1"/>
    <col min="12051" max="12289" width="9.109375" style="208"/>
    <col min="12290" max="12290" width="16.6640625" style="208" customWidth="1"/>
    <col min="12291" max="12291" width="28.6640625" style="208" customWidth="1"/>
    <col min="12292" max="12292" width="21.109375" style="208" bestFit="1" customWidth="1"/>
    <col min="12293" max="12293" width="15.6640625" style="208" bestFit="1" customWidth="1"/>
    <col min="12294" max="12294" width="22.44140625" style="208" bestFit="1" customWidth="1"/>
    <col min="12295" max="12295" width="23" style="208" customWidth="1"/>
    <col min="12296" max="12296" width="22.44140625" style="208" bestFit="1" customWidth="1"/>
    <col min="12297" max="12297" width="23.44140625" style="208" bestFit="1" customWidth="1"/>
    <col min="12298" max="12298" width="20.44140625" style="208" customWidth="1"/>
    <col min="12299" max="12299" width="15.6640625" style="208" bestFit="1" customWidth="1"/>
    <col min="12300" max="12300" width="20.6640625" style="208" bestFit="1" customWidth="1"/>
    <col min="12301" max="12301" width="16.109375" style="208" bestFit="1" customWidth="1"/>
    <col min="12302" max="12302" width="18" style="208" bestFit="1" customWidth="1"/>
    <col min="12303" max="12303" width="10.6640625" style="208" bestFit="1" customWidth="1"/>
    <col min="12304" max="12304" width="16.33203125" style="208" bestFit="1" customWidth="1"/>
    <col min="12305" max="12305" width="25.33203125" style="208" customWidth="1"/>
    <col min="12306" max="12306" width="16.33203125" style="208" bestFit="1" customWidth="1"/>
    <col min="12307" max="12545" width="9.109375" style="208"/>
    <col min="12546" max="12546" width="16.6640625" style="208" customWidth="1"/>
    <col min="12547" max="12547" width="28.6640625" style="208" customWidth="1"/>
    <col min="12548" max="12548" width="21.109375" style="208" bestFit="1" customWidth="1"/>
    <col min="12549" max="12549" width="15.6640625" style="208" bestFit="1" customWidth="1"/>
    <col min="12550" max="12550" width="22.44140625" style="208" bestFit="1" customWidth="1"/>
    <col min="12551" max="12551" width="23" style="208" customWidth="1"/>
    <col min="12552" max="12552" width="22.44140625" style="208" bestFit="1" customWidth="1"/>
    <col min="12553" max="12553" width="23.44140625" style="208" bestFit="1" customWidth="1"/>
    <col min="12554" max="12554" width="20.44140625" style="208" customWidth="1"/>
    <col min="12555" max="12555" width="15.6640625" style="208" bestFit="1" customWidth="1"/>
    <col min="12556" max="12556" width="20.6640625" style="208" bestFit="1" customWidth="1"/>
    <col min="12557" max="12557" width="16.109375" style="208" bestFit="1" customWidth="1"/>
    <col min="12558" max="12558" width="18" style="208" bestFit="1" customWidth="1"/>
    <col min="12559" max="12559" width="10.6640625" style="208" bestFit="1" customWidth="1"/>
    <col min="12560" max="12560" width="16.33203125" style="208" bestFit="1" customWidth="1"/>
    <col min="12561" max="12561" width="25.33203125" style="208" customWidth="1"/>
    <col min="12562" max="12562" width="16.33203125" style="208" bestFit="1" customWidth="1"/>
    <col min="12563" max="12801" width="9.109375" style="208"/>
    <col min="12802" max="12802" width="16.6640625" style="208" customWidth="1"/>
    <col min="12803" max="12803" width="28.6640625" style="208" customWidth="1"/>
    <col min="12804" max="12804" width="21.109375" style="208" bestFit="1" customWidth="1"/>
    <col min="12805" max="12805" width="15.6640625" style="208" bestFit="1" customWidth="1"/>
    <col min="12806" max="12806" width="22.44140625" style="208" bestFit="1" customWidth="1"/>
    <col min="12807" max="12807" width="23" style="208" customWidth="1"/>
    <col min="12808" max="12808" width="22.44140625" style="208" bestFit="1" customWidth="1"/>
    <col min="12809" max="12809" width="23.44140625" style="208" bestFit="1" customWidth="1"/>
    <col min="12810" max="12810" width="20.44140625" style="208" customWidth="1"/>
    <col min="12811" max="12811" width="15.6640625" style="208" bestFit="1" customWidth="1"/>
    <col min="12812" max="12812" width="20.6640625" style="208" bestFit="1" customWidth="1"/>
    <col min="12813" max="12813" width="16.109375" style="208" bestFit="1" customWidth="1"/>
    <col min="12814" max="12814" width="18" style="208" bestFit="1" customWidth="1"/>
    <col min="12815" max="12815" width="10.6640625" style="208" bestFit="1" customWidth="1"/>
    <col min="12816" max="12816" width="16.33203125" style="208" bestFit="1" customWidth="1"/>
    <col min="12817" max="12817" width="25.33203125" style="208" customWidth="1"/>
    <col min="12818" max="12818" width="16.33203125" style="208" bestFit="1" customWidth="1"/>
    <col min="12819" max="13057" width="9.109375" style="208"/>
    <col min="13058" max="13058" width="16.6640625" style="208" customWidth="1"/>
    <col min="13059" max="13059" width="28.6640625" style="208" customWidth="1"/>
    <col min="13060" max="13060" width="21.109375" style="208" bestFit="1" customWidth="1"/>
    <col min="13061" max="13061" width="15.6640625" style="208" bestFit="1" customWidth="1"/>
    <col min="13062" max="13062" width="22.44140625" style="208" bestFit="1" customWidth="1"/>
    <col min="13063" max="13063" width="23" style="208" customWidth="1"/>
    <col min="13064" max="13064" width="22.44140625" style="208" bestFit="1" customWidth="1"/>
    <col min="13065" max="13065" width="23.44140625" style="208" bestFit="1" customWidth="1"/>
    <col min="13066" max="13066" width="20.44140625" style="208" customWidth="1"/>
    <col min="13067" max="13067" width="15.6640625" style="208" bestFit="1" customWidth="1"/>
    <col min="13068" max="13068" width="20.6640625" style="208" bestFit="1" customWidth="1"/>
    <col min="13069" max="13069" width="16.109375" style="208" bestFit="1" customWidth="1"/>
    <col min="13070" max="13070" width="18" style="208" bestFit="1" customWidth="1"/>
    <col min="13071" max="13071" width="10.6640625" style="208" bestFit="1" customWidth="1"/>
    <col min="13072" max="13072" width="16.33203125" style="208" bestFit="1" customWidth="1"/>
    <col min="13073" max="13073" width="25.33203125" style="208" customWidth="1"/>
    <col min="13074" max="13074" width="16.33203125" style="208" bestFit="1" customWidth="1"/>
    <col min="13075" max="13313" width="9.109375" style="208"/>
    <col min="13314" max="13314" width="16.6640625" style="208" customWidth="1"/>
    <col min="13315" max="13315" width="28.6640625" style="208" customWidth="1"/>
    <col min="13316" max="13316" width="21.109375" style="208" bestFit="1" customWidth="1"/>
    <col min="13317" max="13317" width="15.6640625" style="208" bestFit="1" customWidth="1"/>
    <col min="13318" max="13318" width="22.44140625" style="208" bestFit="1" customWidth="1"/>
    <col min="13319" max="13319" width="23" style="208" customWidth="1"/>
    <col min="13320" max="13320" width="22.44140625" style="208" bestFit="1" customWidth="1"/>
    <col min="13321" max="13321" width="23.44140625" style="208" bestFit="1" customWidth="1"/>
    <col min="13322" max="13322" width="20.44140625" style="208" customWidth="1"/>
    <col min="13323" max="13323" width="15.6640625" style="208" bestFit="1" customWidth="1"/>
    <col min="13324" max="13324" width="20.6640625" style="208" bestFit="1" customWidth="1"/>
    <col min="13325" max="13325" width="16.109375" style="208" bestFit="1" customWidth="1"/>
    <col min="13326" max="13326" width="18" style="208" bestFit="1" customWidth="1"/>
    <col min="13327" max="13327" width="10.6640625" style="208" bestFit="1" customWidth="1"/>
    <col min="13328" max="13328" width="16.33203125" style="208" bestFit="1" customWidth="1"/>
    <col min="13329" max="13329" width="25.33203125" style="208" customWidth="1"/>
    <col min="13330" max="13330" width="16.33203125" style="208" bestFit="1" customWidth="1"/>
    <col min="13331" max="13569" width="9.109375" style="208"/>
    <col min="13570" max="13570" width="16.6640625" style="208" customWidth="1"/>
    <col min="13571" max="13571" width="28.6640625" style="208" customWidth="1"/>
    <col min="13572" max="13572" width="21.109375" style="208" bestFit="1" customWidth="1"/>
    <col min="13573" max="13573" width="15.6640625" style="208" bestFit="1" customWidth="1"/>
    <col min="13574" max="13574" width="22.44140625" style="208" bestFit="1" customWidth="1"/>
    <col min="13575" max="13575" width="23" style="208" customWidth="1"/>
    <col min="13576" max="13576" width="22.44140625" style="208" bestFit="1" customWidth="1"/>
    <col min="13577" max="13577" width="23.44140625" style="208" bestFit="1" customWidth="1"/>
    <col min="13578" max="13578" width="20.44140625" style="208" customWidth="1"/>
    <col min="13579" max="13579" width="15.6640625" style="208" bestFit="1" customWidth="1"/>
    <col min="13580" max="13580" width="20.6640625" style="208" bestFit="1" customWidth="1"/>
    <col min="13581" max="13581" width="16.109375" style="208" bestFit="1" customWidth="1"/>
    <col min="13582" max="13582" width="18" style="208" bestFit="1" customWidth="1"/>
    <col min="13583" max="13583" width="10.6640625" style="208" bestFit="1" customWidth="1"/>
    <col min="13584" max="13584" width="16.33203125" style="208" bestFit="1" customWidth="1"/>
    <col min="13585" max="13585" width="25.33203125" style="208" customWidth="1"/>
    <col min="13586" max="13586" width="16.33203125" style="208" bestFit="1" customWidth="1"/>
    <col min="13587" max="13825" width="9.109375" style="208"/>
    <col min="13826" max="13826" width="16.6640625" style="208" customWidth="1"/>
    <col min="13827" max="13827" width="28.6640625" style="208" customWidth="1"/>
    <col min="13828" max="13828" width="21.109375" style="208" bestFit="1" customWidth="1"/>
    <col min="13829" max="13829" width="15.6640625" style="208" bestFit="1" customWidth="1"/>
    <col min="13830" max="13830" width="22.44140625" style="208" bestFit="1" customWidth="1"/>
    <col min="13831" max="13831" width="23" style="208" customWidth="1"/>
    <col min="13832" max="13832" width="22.44140625" style="208" bestFit="1" customWidth="1"/>
    <col min="13833" max="13833" width="23.44140625" style="208" bestFit="1" customWidth="1"/>
    <col min="13834" max="13834" width="20.44140625" style="208" customWidth="1"/>
    <col min="13835" max="13835" width="15.6640625" style="208" bestFit="1" customWidth="1"/>
    <col min="13836" max="13836" width="20.6640625" style="208" bestFit="1" customWidth="1"/>
    <col min="13837" max="13837" width="16.109375" style="208" bestFit="1" customWidth="1"/>
    <col min="13838" max="13838" width="18" style="208" bestFit="1" customWidth="1"/>
    <col min="13839" max="13839" width="10.6640625" style="208" bestFit="1" customWidth="1"/>
    <col min="13840" max="13840" width="16.33203125" style="208" bestFit="1" customWidth="1"/>
    <col min="13841" max="13841" width="25.33203125" style="208" customWidth="1"/>
    <col min="13842" max="13842" width="16.33203125" style="208" bestFit="1" customWidth="1"/>
    <col min="13843" max="14081" width="9.109375" style="208"/>
    <col min="14082" max="14082" width="16.6640625" style="208" customWidth="1"/>
    <col min="14083" max="14083" width="28.6640625" style="208" customWidth="1"/>
    <col min="14084" max="14084" width="21.109375" style="208" bestFit="1" customWidth="1"/>
    <col min="14085" max="14085" width="15.6640625" style="208" bestFit="1" customWidth="1"/>
    <col min="14086" max="14086" width="22.44140625" style="208" bestFit="1" customWidth="1"/>
    <col min="14087" max="14087" width="23" style="208" customWidth="1"/>
    <col min="14088" max="14088" width="22.44140625" style="208" bestFit="1" customWidth="1"/>
    <col min="14089" max="14089" width="23.44140625" style="208" bestFit="1" customWidth="1"/>
    <col min="14090" max="14090" width="20.44140625" style="208" customWidth="1"/>
    <col min="14091" max="14091" width="15.6640625" style="208" bestFit="1" customWidth="1"/>
    <col min="14092" max="14092" width="20.6640625" style="208" bestFit="1" customWidth="1"/>
    <col min="14093" max="14093" width="16.109375" style="208" bestFit="1" customWidth="1"/>
    <col min="14094" max="14094" width="18" style="208" bestFit="1" customWidth="1"/>
    <col min="14095" max="14095" width="10.6640625" style="208" bestFit="1" customWidth="1"/>
    <col min="14096" max="14096" width="16.33203125" style="208" bestFit="1" customWidth="1"/>
    <col min="14097" max="14097" width="25.33203125" style="208" customWidth="1"/>
    <col min="14098" max="14098" width="16.33203125" style="208" bestFit="1" customWidth="1"/>
    <col min="14099" max="14337" width="9.109375" style="208"/>
    <col min="14338" max="14338" width="16.6640625" style="208" customWidth="1"/>
    <col min="14339" max="14339" width="28.6640625" style="208" customWidth="1"/>
    <col min="14340" max="14340" width="21.109375" style="208" bestFit="1" customWidth="1"/>
    <col min="14341" max="14341" width="15.6640625" style="208" bestFit="1" customWidth="1"/>
    <col min="14342" max="14342" width="22.44140625" style="208" bestFit="1" customWidth="1"/>
    <col min="14343" max="14343" width="23" style="208" customWidth="1"/>
    <col min="14344" max="14344" width="22.44140625" style="208" bestFit="1" customWidth="1"/>
    <col min="14345" max="14345" width="23.44140625" style="208" bestFit="1" customWidth="1"/>
    <col min="14346" max="14346" width="20.44140625" style="208" customWidth="1"/>
    <col min="14347" max="14347" width="15.6640625" style="208" bestFit="1" customWidth="1"/>
    <col min="14348" max="14348" width="20.6640625" style="208" bestFit="1" customWidth="1"/>
    <col min="14349" max="14349" width="16.109375" style="208" bestFit="1" customWidth="1"/>
    <col min="14350" max="14350" width="18" style="208" bestFit="1" customWidth="1"/>
    <col min="14351" max="14351" width="10.6640625" style="208" bestFit="1" customWidth="1"/>
    <col min="14352" max="14352" width="16.33203125" style="208" bestFit="1" customWidth="1"/>
    <col min="14353" max="14353" width="25.33203125" style="208" customWidth="1"/>
    <col min="14354" max="14354" width="16.33203125" style="208" bestFit="1" customWidth="1"/>
    <col min="14355" max="14593" width="9.109375" style="208"/>
    <col min="14594" max="14594" width="16.6640625" style="208" customWidth="1"/>
    <col min="14595" max="14595" width="28.6640625" style="208" customWidth="1"/>
    <col min="14596" max="14596" width="21.109375" style="208" bestFit="1" customWidth="1"/>
    <col min="14597" max="14597" width="15.6640625" style="208" bestFit="1" customWidth="1"/>
    <col min="14598" max="14598" width="22.44140625" style="208" bestFit="1" customWidth="1"/>
    <col min="14599" max="14599" width="23" style="208" customWidth="1"/>
    <col min="14600" max="14600" width="22.44140625" style="208" bestFit="1" customWidth="1"/>
    <col min="14601" max="14601" width="23.44140625" style="208" bestFit="1" customWidth="1"/>
    <col min="14602" max="14602" width="20.44140625" style="208" customWidth="1"/>
    <col min="14603" max="14603" width="15.6640625" style="208" bestFit="1" customWidth="1"/>
    <col min="14604" max="14604" width="20.6640625" style="208" bestFit="1" customWidth="1"/>
    <col min="14605" max="14605" width="16.109375" style="208" bestFit="1" customWidth="1"/>
    <col min="14606" max="14606" width="18" style="208" bestFit="1" customWidth="1"/>
    <col min="14607" max="14607" width="10.6640625" style="208" bestFit="1" customWidth="1"/>
    <col min="14608" max="14608" width="16.33203125" style="208" bestFit="1" customWidth="1"/>
    <col min="14609" max="14609" width="25.33203125" style="208" customWidth="1"/>
    <col min="14610" max="14610" width="16.33203125" style="208" bestFit="1" customWidth="1"/>
    <col min="14611" max="14849" width="9.109375" style="208"/>
    <col min="14850" max="14850" width="16.6640625" style="208" customWidth="1"/>
    <col min="14851" max="14851" width="28.6640625" style="208" customWidth="1"/>
    <col min="14852" max="14852" width="21.109375" style="208" bestFit="1" customWidth="1"/>
    <col min="14853" max="14853" width="15.6640625" style="208" bestFit="1" customWidth="1"/>
    <col min="14854" max="14854" width="22.44140625" style="208" bestFit="1" customWidth="1"/>
    <col min="14855" max="14855" width="23" style="208" customWidth="1"/>
    <col min="14856" max="14856" width="22.44140625" style="208" bestFit="1" customWidth="1"/>
    <col min="14857" max="14857" width="23.44140625" style="208" bestFit="1" customWidth="1"/>
    <col min="14858" max="14858" width="20.44140625" style="208" customWidth="1"/>
    <col min="14859" max="14859" width="15.6640625" style="208" bestFit="1" customWidth="1"/>
    <col min="14860" max="14860" width="20.6640625" style="208" bestFit="1" customWidth="1"/>
    <col min="14861" max="14861" width="16.109375" style="208" bestFit="1" customWidth="1"/>
    <col min="14862" max="14862" width="18" style="208" bestFit="1" customWidth="1"/>
    <col min="14863" max="14863" width="10.6640625" style="208" bestFit="1" customWidth="1"/>
    <col min="14864" max="14864" width="16.33203125" style="208" bestFit="1" customWidth="1"/>
    <col min="14865" max="14865" width="25.33203125" style="208" customWidth="1"/>
    <col min="14866" max="14866" width="16.33203125" style="208" bestFit="1" customWidth="1"/>
    <col min="14867" max="15105" width="9.109375" style="208"/>
    <col min="15106" max="15106" width="16.6640625" style="208" customWidth="1"/>
    <col min="15107" max="15107" width="28.6640625" style="208" customWidth="1"/>
    <col min="15108" max="15108" width="21.109375" style="208" bestFit="1" customWidth="1"/>
    <col min="15109" max="15109" width="15.6640625" style="208" bestFit="1" customWidth="1"/>
    <col min="15110" max="15110" width="22.44140625" style="208" bestFit="1" customWidth="1"/>
    <col min="15111" max="15111" width="23" style="208" customWidth="1"/>
    <col min="15112" max="15112" width="22.44140625" style="208" bestFit="1" customWidth="1"/>
    <col min="15113" max="15113" width="23.44140625" style="208" bestFit="1" customWidth="1"/>
    <col min="15114" max="15114" width="20.44140625" style="208" customWidth="1"/>
    <col min="15115" max="15115" width="15.6640625" style="208" bestFit="1" customWidth="1"/>
    <col min="15116" max="15116" width="20.6640625" style="208" bestFit="1" customWidth="1"/>
    <col min="15117" max="15117" width="16.109375" style="208" bestFit="1" customWidth="1"/>
    <col min="15118" max="15118" width="18" style="208" bestFit="1" customWidth="1"/>
    <col min="15119" max="15119" width="10.6640625" style="208" bestFit="1" customWidth="1"/>
    <col min="15120" max="15120" width="16.33203125" style="208" bestFit="1" customWidth="1"/>
    <col min="15121" max="15121" width="25.33203125" style="208" customWidth="1"/>
    <col min="15122" max="15122" width="16.33203125" style="208" bestFit="1" customWidth="1"/>
    <col min="15123" max="15361" width="9.109375" style="208"/>
    <col min="15362" max="15362" width="16.6640625" style="208" customWidth="1"/>
    <col min="15363" max="15363" width="28.6640625" style="208" customWidth="1"/>
    <col min="15364" max="15364" width="21.109375" style="208" bestFit="1" customWidth="1"/>
    <col min="15365" max="15365" width="15.6640625" style="208" bestFit="1" customWidth="1"/>
    <col min="15366" max="15366" width="22.44140625" style="208" bestFit="1" customWidth="1"/>
    <col min="15367" max="15367" width="23" style="208" customWidth="1"/>
    <col min="15368" max="15368" width="22.44140625" style="208" bestFit="1" customWidth="1"/>
    <col min="15369" max="15369" width="23.44140625" style="208" bestFit="1" customWidth="1"/>
    <col min="15370" max="15370" width="20.44140625" style="208" customWidth="1"/>
    <col min="15371" max="15371" width="15.6640625" style="208" bestFit="1" customWidth="1"/>
    <col min="15372" max="15372" width="20.6640625" style="208" bestFit="1" customWidth="1"/>
    <col min="15373" max="15373" width="16.109375" style="208" bestFit="1" customWidth="1"/>
    <col min="15374" max="15374" width="18" style="208" bestFit="1" customWidth="1"/>
    <col min="15375" max="15375" width="10.6640625" style="208" bestFit="1" customWidth="1"/>
    <col min="15376" max="15376" width="16.33203125" style="208" bestFit="1" customWidth="1"/>
    <col min="15377" max="15377" width="25.33203125" style="208" customWidth="1"/>
    <col min="15378" max="15378" width="16.33203125" style="208" bestFit="1" customWidth="1"/>
    <col min="15379" max="15617" width="9.109375" style="208"/>
    <col min="15618" max="15618" width="16.6640625" style="208" customWidth="1"/>
    <col min="15619" max="15619" width="28.6640625" style="208" customWidth="1"/>
    <col min="15620" max="15620" width="21.109375" style="208" bestFit="1" customWidth="1"/>
    <col min="15621" max="15621" width="15.6640625" style="208" bestFit="1" customWidth="1"/>
    <col min="15622" max="15622" width="22.44140625" style="208" bestFit="1" customWidth="1"/>
    <col min="15623" max="15623" width="23" style="208" customWidth="1"/>
    <col min="15624" max="15624" width="22.44140625" style="208" bestFit="1" customWidth="1"/>
    <col min="15625" max="15625" width="23.44140625" style="208" bestFit="1" customWidth="1"/>
    <col min="15626" max="15626" width="20.44140625" style="208" customWidth="1"/>
    <col min="15627" max="15627" width="15.6640625" style="208" bestFit="1" customWidth="1"/>
    <col min="15628" max="15628" width="20.6640625" style="208" bestFit="1" customWidth="1"/>
    <col min="15629" max="15629" width="16.109375" style="208" bestFit="1" customWidth="1"/>
    <col min="15630" max="15630" width="18" style="208" bestFit="1" customWidth="1"/>
    <col min="15631" max="15631" width="10.6640625" style="208" bestFit="1" customWidth="1"/>
    <col min="15632" max="15632" width="16.33203125" style="208" bestFit="1" customWidth="1"/>
    <col min="15633" max="15633" width="25.33203125" style="208" customWidth="1"/>
    <col min="15634" max="15634" width="16.33203125" style="208" bestFit="1" customWidth="1"/>
    <col min="15635" max="15873" width="9.109375" style="208"/>
    <col min="15874" max="15874" width="16.6640625" style="208" customWidth="1"/>
    <col min="15875" max="15875" width="28.6640625" style="208" customWidth="1"/>
    <col min="15876" max="15876" width="21.109375" style="208" bestFit="1" customWidth="1"/>
    <col min="15877" max="15877" width="15.6640625" style="208" bestFit="1" customWidth="1"/>
    <col min="15878" max="15878" width="22.44140625" style="208" bestFit="1" customWidth="1"/>
    <col min="15879" max="15879" width="23" style="208" customWidth="1"/>
    <col min="15880" max="15880" width="22.44140625" style="208" bestFit="1" customWidth="1"/>
    <col min="15881" max="15881" width="23.44140625" style="208" bestFit="1" customWidth="1"/>
    <col min="15882" max="15882" width="20.44140625" style="208" customWidth="1"/>
    <col min="15883" max="15883" width="15.6640625" style="208" bestFit="1" customWidth="1"/>
    <col min="15884" max="15884" width="20.6640625" style="208" bestFit="1" customWidth="1"/>
    <col min="15885" max="15885" width="16.109375" style="208" bestFit="1" customWidth="1"/>
    <col min="15886" max="15886" width="18" style="208" bestFit="1" customWidth="1"/>
    <col min="15887" max="15887" width="10.6640625" style="208" bestFit="1" customWidth="1"/>
    <col min="15888" max="15888" width="16.33203125" style="208" bestFit="1" customWidth="1"/>
    <col min="15889" max="15889" width="25.33203125" style="208" customWidth="1"/>
    <col min="15890" max="15890" width="16.33203125" style="208" bestFit="1" customWidth="1"/>
    <col min="15891" max="16129" width="9.109375" style="208"/>
    <col min="16130" max="16130" width="16.6640625" style="208" customWidth="1"/>
    <col min="16131" max="16131" width="28.6640625" style="208" customWidth="1"/>
    <col min="16132" max="16132" width="21.109375" style="208" bestFit="1" customWidth="1"/>
    <col min="16133" max="16133" width="15.6640625" style="208" bestFit="1" customWidth="1"/>
    <col min="16134" max="16134" width="22.44140625" style="208" bestFit="1" customWidth="1"/>
    <col min="16135" max="16135" width="23" style="208" customWidth="1"/>
    <col min="16136" max="16136" width="22.44140625" style="208" bestFit="1" customWidth="1"/>
    <col min="16137" max="16137" width="23.44140625" style="208" bestFit="1" customWidth="1"/>
    <col min="16138" max="16138" width="20.44140625" style="208" customWidth="1"/>
    <col min="16139" max="16139" width="15.6640625" style="208" bestFit="1" customWidth="1"/>
    <col min="16140" max="16140" width="20.6640625" style="208" bestFit="1" customWidth="1"/>
    <col min="16141" max="16141" width="16.109375" style="208" bestFit="1" customWidth="1"/>
    <col min="16142" max="16142" width="18" style="208" bestFit="1" customWidth="1"/>
    <col min="16143" max="16143" width="10.6640625" style="208" bestFit="1" customWidth="1"/>
    <col min="16144" max="16144" width="16.33203125" style="208" bestFit="1" customWidth="1"/>
    <col min="16145" max="16145" width="25.33203125" style="208" customWidth="1"/>
    <col min="16146" max="16146" width="16.33203125" style="208" bestFit="1" customWidth="1"/>
    <col min="16147" max="16384" width="9.109375" style="208"/>
  </cols>
  <sheetData>
    <row r="1" spans="1:18" ht="17.25" customHeight="1" x14ac:dyDescent="0.3">
      <c r="A1" s="205" t="s">
        <v>34</v>
      </c>
      <c r="B1" s="206" t="s">
        <v>178</v>
      </c>
      <c r="C1" s="206" t="s">
        <v>179</v>
      </c>
      <c r="D1" s="206" t="s">
        <v>161</v>
      </c>
      <c r="E1" s="206" t="s">
        <v>162</v>
      </c>
      <c r="F1" s="207" t="s">
        <v>163</v>
      </c>
      <c r="G1" s="206" t="s">
        <v>26</v>
      </c>
      <c r="H1" s="206" t="s">
        <v>27</v>
      </c>
      <c r="I1" s="206" t="s">
        <v>165</v>
      </c>
      <c r="J1" s="206" t="s">
        <v>166</v>
      </c>
      <c r="L1" s="209"/>
      <c r="M1" s="209"/>
      <c r="N1" s="209"/>
      <c r="P1" s="209"/>
      <c r="Q1" s="209"/>
      <c r="R1" s="209"/>
    </row>
    <row r="2" spans="1:18" ht="17.25" customHeight="1" thickBot="1" x14ac:dyDescent="0.35">
      <c r="A2" s="210" t="s">
        <v>35</v>
      </c>
      <c r="B2" s="211"/>
      <c r="C2" s="211"/>
      <c r="D2" s="211"/>
      <c r="E2" s="211"/>
      <c r="F2" s="211"/>
      <c r="G2" s="211"/>
      <c r="H2" s="211"/>
      <c r="I2" s="211"/>
      <c r="J2" s="211"/>
    </row>
    <row r="3" spans="1:18" ht="17.25" customHeight="1" x14ac:dyDescent="0.3">
      <c r="A3" s="205">
        <v>1</v>
      </c>
      <c r="B3" s="212" t="s">
        <v>208</v>
      </c>
      <c r="C3" s="212" t="s">
        <v>216</v>
      </c>
      <c r="D3" s="212" t="s">
        <v>223</v>
      </c>
      <c r="E3" s="212" t="s">
        <v>240</v>
      </c>
      <c r="F3" s="212" t="s">
        <v>230</v>
      </c>
      <c r="G3" s="212" t="s">
        <v>249</v>
      </c>
      <c r="H3" s="212" t="s">
        <v>259</v>
      </c>
      <c r="I3" s="212" t="s">
        <v>190</v>
      </c>
      <c r="J3" s="212" t="s">
        <v>181</v>
      </c>
      <c r="L3" s="208" t="s">
        <v>104</v>
      </c>
    </row>
    <row r="4" spans="1:18" ht="17.25" customHeight="1" thickBot="1" x14ac:dyDescent="0.35">
      <c r="A4" s="210" t="s">
        <v>36</v>
      </c>
      <c r="B4" s="213">
        <v>2</v>
      </c>
      <c r="C4" s="213">
        <v>2</v>
      </c>
      <c r="D4" s="213">
        <v>3</v>
      </c>
      <c r="E4" s="213">
        <v>2</v>
      </c>
      <c r="F4" s="213">
        <v>2</v>
      </c>
      <c r="G4" s="213">
        <v>3</v>
      </c>
      <c r="H4" s="213">
        <v>2</v>
      </c>
      <c r="I4" s="213">
        <v>2</v>
      </c>
      <c r="J4" s="213">
        <v>2</v>
      </c>
      <c r="L4" s="208" t="s">
        <v>103</v>
      </c>
    </row>
    <row r="5" spans="1:18" ht="17.25" customHeight="1" x14ac:dyDescent="0.3">
      <c r="A5" s="205">
        <v>2</v>
      </c>
      <c r="B5" s="212" t="s">
        <v>209</v>
      </c>
      <c r="C5" s="212" t="s">
        <v>217</v>
      </c>
      <c r="D5" s="212" t="s">
        <v>224</v>
      </c>
      <c r="E5" s="212" t="s">
        <v>241</v>
      </c>
      <c r="F5" s="212" t="s">
        <v>231</v>
      </c>
      <c r="G5" s="212" t="s">
        <v>250</v>
      </c>
      <c r="H5" s="212" t="s">
        <v>260</v>
      </c>
      <c r="I5" s="212" t="s">
        <v>191</v>
      </c>
      <c r="J5" s="212" t="s">
        <v>182</v>
      </c>
      <c r="L5" s="208" t="s">
        <v>104</v>
      </c>
    </row>
    <row r="6" spans="1:18" ht="17.25" customHeight="1" thickBot="1" x14ac:dyDescent="0.35">
      <c r="A6" s="210" t="s">
        <v>36</v>
      </c>
      <c r="B6" s="213">
        <v>3</v>
      </c>
      <c r="C6" s="213">
        <v>3</v>
      </c>
      <c r="D6" s="213">
        <v>4</v>
      </c>
      <c r="E6" s="213">
        <v>3</v>
      </c>
      <c r="F6" s="213">
        <v>3</v>
      </c>
      <c r="G6" s="213">
        <v>4</v>
      </c>
      <c r="H6" s="213">
        <v>3</v>
      </c>
      <c r="I6" s="213">
        <v>3</v>
      </c>
      <c r="J6" s="213">
        <v>3</v>
      </c>
      <c r="L6" s="208" t="s">
        <v>103</v>
      </c>
    </row>
    <row r="7" spans="1:18" ht="17.25" customHeight="1" x14ac:dyDescent="0.3">
      <c r="A7" s="205">
        <v>3</v>
      </c>
      <c r="B7" s="212" t="s">
        <v>210</v>
      </c>
      <c r="C7" s="212" t="s">
        <v>218</v>
      </c>
      <c r="D7" s="212" t="s">
        <v>225</v>
      </c>
      <c r="E7" s="212" t="s">
        <v>242</v>
      </c>
      <c r="F7" s="212" t="s">
        <v>232</v>
      </c>
      <c r="G7" s="212" t="s">
        <v>251</v>
      </c>
      <c r="H7" s="212" t="s">
        <v>261</v>
      </c>
      <c r="I7" s="212" t="s">
        <v>192</v>
      </c>
      <c r="J7" s="212" t="s">
        <v>183</v>
      </c>
      <c r="L7" s="208" t="s">
        <v>104</v>
      </c>
    </row>
    <row r="8" spans="1:18" ht="17.25" customHeight="1" thickBot="1" x14ac:dyDescent="0.35">
      <c r="A8" s="210" t="s">
        <v>36</v>
      </c>
      <c r="B8" s="213">
        <v>4</v>
      </c>
      <c r="C8" s="213">
        <v>4</v>
      </c>
      <c r="D8" s="213">
        <v>5</v>
      </c>
      <c r="E8" s="213">
        <v>4</v>
      </c>
      <c r="F8" s="213">
        <v>4</v>
      </c>
      <c r="G8" s="213">
        <v>5</v>
      </c>
      <c r="H8" s="213">
        <v>4</v>
      </c>
      <c r="I8" s="213">
        <v>4</v>
      </c>
      <c r="J8" s="213">
        <v>4</v>
      </c>
      <c r="L8" s="208" t="s">
        <v>103</v>
      </c>
    </row>
    <row r="9" spans="1:18" ht="17.25" customHeight="1" x14ac:dyDescent="0.3">
      <c r="A9" s="205">
        <v>4</v>
      </c>
      <c r="B9" s="212" t="s">
        <v>211</v>
      </c>
      <c r="C9" s="212" t="s">
        <v>219</v>
      </c>
      <c r="D9" s="212" t="s">
        <v>227</v>
      </c>
      <c r="E9" s="212" t="s">
        <v>243</v>
      </c>
      <c r="F9" s="212" t="s">
        <v>234</v>
      </c>
      <c r="G9" s="212" t="s">
        <v>252</v>
      </c>
      <c r="H9" s="212" t="s">
        <v>266</v>
      </c>
      <c r="I9" s="212" t="s">
        <v>193</v>
      </c>
      <c r="J9" s="212" t="s">
        <v>184</v>
      </c>
      <c r="L9" s="208" t="s">
        <v>104</v>
      </c>
    </row>
    <row r="10" spans="1:18" ht="17.25" customHeight="1" thickBot="1" x14ac:dyDescent="0.35">
      <c r="A10" s="210" t="s">
        <v>36</v>
      </c>
      <c r="B10" s="213">
        <v>5</v>
      </c>
      <c r="C10" s="213">
        <v>6</v>
      </c>
      <c r="D10" s="213">
        <v>7</v>
      </c>
      <c r="E10" s="213">
        <v>5</v>
      </c>
      <c r="F10" s="213">
        <v>6</v>
      </c>
      <c r="G10" s="213">
        <v>6</v>
      </c>
      <c r="H10" s="213">
        <v>5</v>
      </c>
      <c r="I10" s="213">
        <v>5</v>
      </c>
      <c r="J10" s="213">
        <v>5</v>
      </c>
      <c r="L10" s="208" t="s">
        <v>103</v>
      </c>
    </row>
    <row r="11" spans="1:18" ht="17.25" customHeight="1" x14ac:dyDescent="0.3">
      <c r="A11" s="205">
        <v>5</v>
      </c>
      <c r="B11" s="212" t="s">
        <v>212</v>
      </c>
      <c r="C11" s="212" t="s">
        <v>220</v>
      </c>
      <c r="D11" s="212" t="s">
        <v>228</v>
      </c>
      <c r="E11" s="212" t="s">
        <v>244</v>
      </c>
      <c r="F11" s="212" t="s">
        <v>235</v>
      </c>
      <c r="G11" s="212" t="s">
        <v>253</v>
      </c>
      <c r="H11" s="212" t="s">
        <v>262</v>
      </c>
      <c r="I11" s="212" t="s">
        <v>194</v>
      </c>
      <c r="J11" s="212" t="s">
        <v>185</v>
      </c>
      <c r="L11" s="208" t="s">
        <v>104</v>
      </c>
    </row>
    <row r="12" spans="1:18" ht="17.25" customHeight="1" thickBot="1" x14ac:dyDescent="0.35">
      <c r="A12" s="210" t="s">
        <v>36</v>
      </c>
      <c r="B12" s="213">
        <v>6</v>
      </c>
      <c r="C12" s="213">
        <v>7</v>
      </c>
      <c r="D12" s="213">
        <v>9</v>
      </c>
      <c r="E12" s="213">
        <v>6</v>
      </c>
      <c r="F12" s="213">
        <v>7</v>
      </c>
      <c r="G12" s="213">
        <v>7</v>
      </c>
      <c r="H12" s="213">
        <v>7</v>
      </c>
      <c r="I12" s="213">
        <v>6</v>
      </c>
      <c r="J12" s="213">
        <v>6</v>
      </c>
      <c r="L12" s="208" t="s">
        <v>103</v>
      </c>
    </row>
    <row r="13" spans="1:18" ht="17.25" customHeight="1" x14ac:dyDescent="0.3">
      <c r="A13" s="205">
        <v>6</v>
      </c>
      <c r="B13" s="212" t="s">
        <v>213</v>
      </c>
      <c r="C13" s="212" t="s">
        <v>221</v>
      </c>
      <c r="D13" s="212" t="s">
        <v>229</v>
      </c>
      <c r="E13" s="212" t="s">
        <v>245</v>
      </c>
      <c r="F13" s="212" t="s">
        <v>236</v>
      </c>
      <c r="G13" s="212" t="s">
        <v>254</v>
      </c>
      <c r="H13" s="212" t="s">
        <v>267</v>
      </c>
      <c r="I13" s="212" t="s">
        <v>195</v>
      </c>
      <c r="J13" s="212" t="s">
        <v>186</v>
      </c>
      <c r="L13" s="208" t="s">
        <v>104</v>
      </c>
    </row>
    <row r="14" spans="1:18" ht="17.25" customHeight="1" thickBot="1" x14ac:dyDescent="0.35">
      <c r="A14" s="210" t="s">
        <v>36</v>
      </c>
      <c r="B14" s="213">
        <v>9</v>
      </c>
      <c r="C14" s="213">
        <v>8</v>
      </c>
      <c r="D14" s="213">
        <v>11</v>
      </c>
      <c r="E14" s="213">
        <v>7</v>
      </c>
      <c r="F14" s="213">
        <v>8</v>
      </c>
      <c r="G14" s="213">
        <v>8</v>
      </c>
      <c r="H14" s="213">
        <v>8</v>
      </c>
      <c r="I14" s="213">
        <v>7</v>
      </c>
      <c r="J14" s="213">
        <v>7</v>
      </c>
      <c r="L14" s="208" t="s">
        <v>103</v>
      </c>
    </row>
    <row r="15" spans="1:18" ht="17.25" customHeight="1" x14ac:dyDescent="0.3">
      <c r="A15" s="205">
        <v>7</v>
      </c>
      <c r="B15" s="212" t="s">
        <v>214</v>
      </c>
      <c r="C15" s="212" t="s">
        <v>222</v>
      </c>
      <c r="D15" s="212" t="s">
        <v>270</v>
      </c>
      <c r="E15" s="212" t="s">
        <v>246</v>
      </c>
      <c r="F15" s="212" t="s">
        <v>237</v>
      </c>
      <c r="G15" s="212" t="s">
        <v>255</v>
      </c>
      <c r="H15" s="212" t="s">
        <v>268</v>
      </c>
      <c r="I15" s="212" t="s">
        <v>196</v>
      </c>
      <c r="J15" s="212" t="s">
        <v>187</v>
      </c>
      <c r="L15" s="208" t="s">
        <v>104</v>
      </c>
    </row>
    <row r="16" spans="1:18" ht="17.25" customHeight="1" thickBot="1" x14ac:dyDescent="0.35">
      <c r="A16" s="210" t="s">
        <v>36</v>
      </c>
      <c r="B16" s="213">
        <v>10</v>
      </c>
      <c r="C16" s="213">
        <v>10</v>
      </c>
      <c r="D16" s="213">
        <v>12</v>
      </c>
      <c r="E16" s="213">
        <v>8</v>
      </c>
      <c r="F16" s="213">
        <v>9</v>
      </c>
      <c r="G16" s="213">
        <v>9</v>
      </c>
      <c r="H16" s="213">
        <v>9</v>
      </c>
      <c r="I16" s="213">
        <v>8</v>
      </c>
      <c r="J16" s="213">
        <v>9</v>
      </c>
      <c r="L16" s="208" t="s">
        <v>103</v>
      </c>
    </row>
    <row r="17" spans="1:12" ht="17.25" customHeight="1" x14ac:dyDescent="0.3">
      <c r="A17" s="205">
        <v>8</v>
      </c>
      <c r="B17" s="212"/>
      <c r="C17" s="212"/>
      <c r="D17" s="212"/>
      <c r="E17" s="212" t="s">
        <v>247</v>
      </c>
      <c r="F17" s="212" t="s">
        <v>238</v>
      </c>
      <c r="G17" s="212" t="s">
        <v>256</v>
      </c>
      <c r="H17" s="212" t="s">
        <v>263</v>
      </c>
      <c r="I17" s="212"/>
      <c r="J17" s="212" t="s">
        <v>188</v>
      </c>
      <c r="L17" s="208" t="s">
        <v>104</v>
      </c>
    </row>
    <row r="18" spans="1:12" ht="17.25" customHeight="1" thickBot="1" x14ac:dyDescent="0.35">
      <c r="A18" s="210" t="s">
        <v>36</v>
      </c>
      <c r="B18" s="213"/>
      <c r="C18" s="213"/>
      <c r="D18" s="213"/>
      <c r="E18" s="213">
        <v>9</v>
      </c>
      <c r="F18" s="213">
        <v>10</v>
      </c>
      <c r="G18" s="213">
        <v>10</v>
      </c>
      <c r="H18" s="213">
        <v>12</v>
      </c>
      <c r="I18" s="213"/>
      <c r="J18" s="213">
        <v>10</v>
      </c>
      <c r="L18" s="208" t="s">
        <v>103</v>
      </c>
    </row>
    <row r="19" spans="1:12" ht="17.25" customHeight="1" x14ac:dyDescent="0.3">
      <c r="A19" s="205">
        <v>9</v>
      </c>
      <c r="B19" s="212"/>
      <c r="C19" s="212"/>
      <c r="D19" s="212"/>
      <c r="E19" s="212" t="s">
        <v>233</v>
      </c>
      <c r="F19" s="212" t="s">
        <v>239</v>
      </c>
      <c r="G19" s="212" t="s">
        <v>257</v>
      </c>
      <c r="H19" s="212" t="s">
        <v>269</v>
      </c>
      <c r="I19" s="212"/>
      <c r="J19" s="212"/>
      <c r="L19" s="208" t="s">
        <v>104</v>
      </c>
    </row>
    <row r="20" spans="1:12" ht="17.25" customHeight="1" thickBot="1" x14ac:dyDescent="0.35">
      <c r="A20" s="210" t="s">
        <v>36</v>
      </c>
      <c r="B20" s="213"/>
      <c r="C20" s="213"/>
      <c r="D20" s="213"/>
      <c r="E20" s="213">
        <v>10</v>
      </c>
      <c r="F20" s="213">
        <v>11</v>
      </c>
      <c r="G20" s="213">
        <v>11</v>
      </c>
      <c r="H20" s="213">
        <v>13</v>
      </c>
      <c r="I20" s="213"/>
      <c r="J20" s="213"/>
      <c r="L20" s="208" t="s">
        <v>103</v>
      </c>
    </row>
    <row r="21" spans="1:12" ht="17.25" customHeight="1" x14ac:dyDescent="0.3">
      <c r="A21" s="205">
        <v>10</v>
      </c>
      <c r="B21" s="212"/>
      <c r="C21" s="212"/>
      <c r="D21" s="212"/>
      <c r="E21" s="212" t="s">
        <v>248</v>
      </c>
      <c r="F21" s="212"/>
      <c r="G21" s="212"/>
      <c r="H21" s="212"/>
      <c r="I21" s="212"/>
      <c r="J21" s="212"/>
      <c r="L21" s="208" t="s">
        <v>104</v>
      </c>
    </row>
    <row r="22" spans="1:12" ht="17.25" customHeight="1" thickBot="1" x14ac:dyDescent="0.35">
      <c r="A22" s="210" t="s">
        <v>36</v>
      </c>
      <c r="B22" s="213"/>
      <c r="C22" s="213"/>
      <c r="D22" s="213"/>
      <c r="E22" s="213">
        <v>11</v>
      </c>
      <c r="F22" s="213"/>
      <c r="G22" s="213"/>
      <c r="H22" s="213"/>
      <c r="I22" s="213"/>
      <c r="J22" s="213"/>
      <c r="L22" s="208" t="s">
        <v>103</v>
      </c>
    </row>
    <row r="23" spans="1:12" ht="17.25" customHeight="1" x14ac:dyDescent="0.3">
      <c r="A23" s="205" t="s">
        <v>37</v>
      </c>
      <c r="B23" s="212" t="s">
        <v>215</v>
      </c>
      <c r="C23" s="212" t="s">
        <v>215</v>
      </c>
      <c r="D23" s="212" t="s">
        <v>226</v>
      </c>
      <c r="E23" s="212" t="s">
        <v>243</v>
      </c>
      <c r="F23" s="212" t="s">
        <v>231</v>
      </c>
      <c r="G23" s="212" t="s">
        <v>258</v>
      </c>
      <c r="H23" s="212" t="s">
        <v>264</v>
      </c>
      <c r="I23" s="212" t="s">
        <v>192</v>
      </c>
      <c r="J23" s="212" t="s">
        <v>189</v>
      </c>
      <c r="L23" s="208" t="s">
        <v>104</v>
      </c>
    </row>
    <row r="24" spans="1:12" ht="17.25" customHeight="1" thickBot="1" x14ac:dyDescent="0.35">
      <c r="A24" s="210" t="s">
        <v>38</v>
      </c>
      <c r="B24" s="214"/>
      <c r="C24" s="214"/>
      <c r="D24" s="214"/>
      <c r="E24" s="214"/>
      <c r="F24" s="214"/>
      <c r="G24" s="214"/>
      <c r="H24" s="214"/>
      <c r="I24" s="214"/>
      <c r="J24" s="214"/>
    </row>
    <row r="25" spans="1:12" ht="17.25" customHeight="1" thickBot="1" x14ac:dyDescent="0.35">
      <c r="A25" s="215" t="s">
        <v>39</v>
      </c>
      <c r="B25" s="216">
        <v>2</v>
      </c>
      <c r="C25" s="216">
        <v>2</v>
      </c>
      <c r="D25" s="216">
        <v>6</v>
      </c>
      <c r="E25" s="216">
        <v>2</v>
      </c>
      <c r="F25" s="216">
        <v>2</v>
      </c>
      <c r="G25" s="216">
        <v>5</v>
      </c>
      <c r="H25" s="216"/>
      <c r="I25" s="216"/>
      <c r="J25" s="216"/>
      <c r="L25" s="208" t="s">
        <v>103</v>
      </c>
    </row>
    <row r="26" spans="1:12" ht="17.25" customHeight="1" x14ac:dyDescent="0.3"/>
    <row r="27" spans="1:12" ht="17.25" customHeight="1" x14ac:dyDescent="0.3"/>
    <row r="28" spans="1:12" ht="17.25" customHeight="1" thickBot="1" x14ac:dyDescent="0.35"/>
    <row r="29" spans="1:12" ht="17.25" customHeight="1" x14ac:dyDescent="0.3">
      <c r="C29" s="406" t="s">
        <v>102</v>
      </c>
      <c r="D29" s="407"/>
      <c r="E29" s="407"/>
      <c r="F29" s="408"/>
    </row>
    <row r="30" spans="1:12" x14ac:dyDescent="0.3">
      <c r="C30" s="409"/>
      <c r="D30" s="410"/>
      <c r="E30" s="410"/>
      <c r="F30" s="411"/>
    </row>
    <row r="31" spans="1:12" ht="15" thickBot="1" x14ac:dyDescent="0.35">
      <c r="C31" s="412"/>
      <c r="D31" s="413"/>
      <c r="E31" s="413"/>
      <c r="F31" s="414"/>
    </row>
  </sheetData>
  <mergeCells count="1">
    <mergeCell ref="C29:F31"/>
  </mergeCells>
  <hyperlinks>
    <hyperlink ref="C29:F31" location="Wedstrijden!A1" display="Wedstrijdschema" xr:uid="{C62F5B3E-E2F8-4E49-86B5-F9773241E042}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867E-A75B-4B4F-816F-B0AE99410AA8}">
  <sheetPr codeName="Blad19"/>
  <dimension ref="A1:M93"/>
  <sheetViews>
    <sheetView workbookViewId="0">
      <selection activeCell="H5" sqref="H5:K7"/>
    </sheetView>
  </sheetViews>
  <sheetFormatPr defaultColWidth="9.109375" defaultRowHeight="14.4" x14ac:dyDescent="0.3"/>
  <cols>
    <col min="1" max="1" width="9.109375" style="208"/>
    <col min="2" max="2" width="23.6640625" style="208" bestFit="1" customWidth="1"/>
    <col min="3" max="3" width="14.33203125" style="208" bestFit="1" customWidth="1"/>
    <col min="4" max="16384" width="9.109375" style="208"/>
  </cols>
  <sheetData>
    <row r="1" spans="1:13" ht="39.9" customHeight="1" x14ac:dyDescent="0.3">
      <c r="A1" s="420" t="str">
        <f>CONCATENATE("Topscorelijst"&amp;" "&amp;"Toernooi"&amp;" "&amp;Wedstrijden!K2)</f>
        <v>Topscorelijst Toernooi Den Bosch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2"/>
    </row>
    <row r="3" spans="1:13" x14ac:dyDescent="0.3">
      <c r="A3" s="242" t="s">
        <v>105</v>
      </c>
      <c r="B3" s="242" t="s">
        <v>106</v>
      </c>
      <c r="C3" s="242" t="s">
        <v>107</v>
      </c>
      <c r="D3" s="242" t="s">
        <v>108</v>
      </c>
    </row>
    <row r="4" spans="1:13" ht="15" thickBot="1" x14ac:dyDescent="0.35">
      <c r="A4" s="218">
        <v>1</v>
      </c>
      <c r="B4" s="218" t="str">
        <f>IF(berekeningen!X2=0,"",berekeningen!X2)</f>
        <v>Wilma van Helden</v>
      </c>
      <c r="C4" s="218" t="str">
        <f>berekeningen!Y2</f>
        <v>RZ Roermond</v>
      </c>
      <c r="D4" s="218">
        <f>berekeningen!Z2</f>
        <v>16</v>
      </c>
    </row>
    <row r="5" spans="1:13" x14ac:dyDescent="0.3">
      <c r="A5" s="218">
        <v>2</v>
      </c>
      <c r="B5" s="218" t="str">
        <f>IF(berekeningen!X3=0,"",berekeningen!X3)</f>
        <v>Romy Hoed-Venterink</v>
      </c>
      <c r="C5" s="218" t="str">
        <f>berekeningen!Y3</f>
        <v>Gesposs Blauw</v>
      </c>
      <c r="D5" s="218">
        <f>berekeningen!Z3</f>
        <v>15</v>
      </c>
      <c r="H5" s="406" t="s">
        <v>102</v>
      </c>
      <c r="I5" s="407"/>
      <c r="J5" s="407"/>
      <c r="K5" s="408"/>
    </row>
    <row r="6" spans="1:13" x14ac:dyDescent="0.3">
      <c r="A6" s="218">
        <v>3</v>
      </c>
      <c r="B6" s="218" t="str">
        <f>IF(berekeningen!X4=0,"",berekeningen!X4)</f>
        <v>Wesley van Eldijk</v>
      </c>
      <c r="C6" s="218" t="str">
        <f>berekeningen!Y4</f>
        <v>SVG Den Bosch</v>
      </c>
      <c r="D6" s="218">
        <f>berekeningen!Z4</f>
        <v>12</v>
      </c>
      <c r="H6" s="409"/>
      <c r="I6" s="410"/>
      <c r="J6" s="410"/>
      <c r="K6" s="411"/>
    </row>
    <row r="7" spans="1:13" ht="15" thickBot="1" x14ac:dyDescent="0.35">
      <c r="A7" s="218">
        <v>4</v>
      </c>
      <c r="B7" s="218" t="str">
        <f>IF(berekeningen!X5=0,"",berekeningen!X5)</f>
        <v>Timo Hazelhoff</v>
      </c>
      <c r="C7" s="218" t="str">
        <f>berekeningen!Y5</f>
        <v>De Tubanten 1</v>
      </c>
      <c r="D7" s="218">
        <f>berekeningen!Z5</f>
        <v>8</v>
      </c>
      <c r="H7" s="412"/>
      <c r="I7" s="413"/>
      <c r="J7" s="413"/>
      <c r="K7" s="414"/>
    </row>
    <row r="8" spans="1:13" x14ac:dyDescent="0.3">
      <c r="A8" s="218">
        <v>5</v>
      </c>
      <c r="B8" s="218" t="str">
        <f>IF(berekeningen!X6=0,"",berekeningen!X6)</f>
        <v>Jeffrey Danen</v>
      </c>
      <c r="C8" s="218" t="str">
        <f>berekeningen!Y6</f>
        <v>VZ&amp;PC Nautilus 2</v>
      </c>
      <c r="D8" s="218">
        <f>berekeningen!Z6</f>
        <v>6</v>
      </c>
    </row>
    <row r="9" spans="1:13" x14ac:dyDescent="0.3">
      <c r="A9" s="218">
        <v>6</v>
      </c>
      <c r="B9" s="218" t="str">
        <f>IF(berekeningen!X7=0,"",berekeningen!X7)</f>
        <v>Wout Reininga</v>
      </c>
      <c r="C9" s="218" t="str">
        <f>berekeningen!Y7</f>
        <v>Gesposs Blauw</v>
      </c>
      <c r="D9" s="218">
        <f>berekeningen!Z7</f>
        <v>6</v>
      </c>
    </row>
    <row r="10" spans="1:13" x14ac:dyDescent="0.3">
      <c r="A10" s="218">
        <v>7</v>
      </c>
      <c r="B10" s="218" t="str">
        <f>IF(berekeningen!X8=0,"",berekeningen!X8)</f>
        <v>Manon Dekkers</v>
      </c>
      <c r="C10" s="218" t="str">
        <f>berekeningen!Y8</f>
        <v>Gesposs Blauw</v>
      </c>
      <c r="D10" s="218">
        <f>berekeningen!Z8</f>
        <v>6</v>
      </c>
    </row>
    <row r="11" spans="1:13" x14ac:dyDescent="0.3">
      <c r="A11" s="218">
        <v>8</v>
      </c>
      <c r="B11" s="218" t="str">
        <f>IF(berekeningen!X9=0,"",berekeningen!X9)</f>
        <v>Siemen Pouwels</v>
      </c>
      <c r="C11" s="218" t="str">
        <f>berekeningen!Y9</f>
        <v>Aqua Novio</v>
      </c>
      <c r="D11" s="218">
        <f>berekeningen!Z9</f>
        <v>6</v>
      </c>
    </row>
    <row r="12" spans="1:13" x14ac:dyDescent="0.3">
      <c r="A12" s="218">
        <v>9</v>
      </c>
      <c r="B12" s="218" t="str">
        <f>IF(berekeningen!X10=0,"",berekeningen!X10)</f>
        <v>Maritz</v>
      </c>
      <c r="C12" s="218" t="str">
        <f>berekeningen!Y10</f>
        <v>Aqua Novio</v>
      </c>
      <c r="D12" s="218">
        <f>berekeningen!Z10</f>
        <v>6</v>
      </c>
    </row>
    <row r="13" spans="1:13" x14ac:dyDescent="0.3">
      <c r="A13" s="218">
        <v>10</v>
      </c>
      <c r="B13" s="218" t="str">
        <f>IF(berekeningen!X11=0,"",berekeningen!X11)</f>
        <v>Eef de Ruijter</v>
      </c>
      <c r="C13" s="218" t="str">
        <f>berekeningen!Y11</f>
        <v>Gesposs Geel</v>
      </c>
      <c r="D13" s="218">
        <f>berekeningen!Z11</f>
        <v>5</v>
      </c>
    </row>
    <row r="14" spans="1:13" x14ac:dyDescent="0.3">
      <c r="A14" s="218">
        <v>11</v>
      </c>
      <c r="B14" s="218" t="str">
        <f>IF(berekeningen!X12=0,"",berekeningen!X12)</f>
        <v>Arjan Dulos</v>
      </c>
      <c r="C14" s="218" t="str">
        <f>berekeningen!Y12</f>
        <v>Gesposs Geel</v>
      </c>
      <c r="D14" s="218">
        <f>berekeningen!Z12</f>
        <v>5</v>
      </c>
    </row>
    <row r="15" spans="1:13" x14ac:dyDescent="0.3">
      <c r="A15" s="218">
        <v>12</v>
      </c>
      <c r="B15" s="218" t="str">
        <f>IF(berekeningen!X13=0,"",berekeningen!X13)</f>
        <v>Noah Hazelhoff</v>
      </c>
      <c r="C15" s="218" t="str">
        <f>berekeningen!Y13</f>
        <v>De Tubanten 2</v>
      </c>
      <c r="D15" s="218">
        <f>berekeningen!Z13</f>
        <v>5</v>
      </c>
    </row>
    <row r="16" spans="1:13" x14ac:dyDescent="0.3">
      <c r="A16" s="218">
        <v>13</v>
      </c>
      <c r="B16" s="218" t="str">
        <f>IF(berekeningen!X14=0,"",berekeningen!X14)</f>
        <v>Mike Regtop</v>
      </c>
      <c r="C16" s="218" t="str">
        <f>berekeningen!Y14</f>
        <v>De Tubanten 1</v>
      </c>
      <c r="D16" s="218">
        <f>berekeningen!Z14</f>
        <v>5</v>
      </c>
    </row>
    <row r="17" spans="1:4" x14ac:dyDescent="0.3">
      <c r="A17" s="218">
        <v>14</v>
      </c>
      <c r="B17" s="218" t="str">
        <f>IF(berekeningen!X15=0,"",berekeningen!X15)</f>
        <v>Christian Gibbels</v>
      </c>
      <c r="C17" s="218" t="str">
        <f>berekeningen!Y15</f>
        <v>VZ&amp;PC Nautilus 1</v>
      </c>
      <c r="D17" s="218">
        <f>berekeningen!Z15</f>
        <v>4</v>
      </c>
    </row>
    <row r="18" spans="1:4" x14ac:dyDescent="0.3">
      <c r="A18" s="218">
        <v>15</v>
      </c>
      <c r="B18" s="218" t="str">
        <f>IF(berekeningen!X16=0,"",berekeningen!X16)</f>
        <v>Helmi van Hirtum</v>
      </c>
      <c r="C18" s="218" t="str">
        <f>berekeningen!Y16</f>
        <v>SVG Den Bosch</v>
      </c>
      <c r="D18" s="218">
        <f>berekeningen!Z16</f>
        <v>4</v>
      </c>
    </row>
    <row r="19" spans="1:4" x14ac:dyDescent="0.3">
      <c r="A19" s="218">
        <v>16</v>
      </c>
      <c r="B19" s="218" t="str">
        <f>IF(berekeningen!X17=0,"",berekeningen!X17)</f>
        <v>Leon Bijker</v>
      </c>
      <c r="C19" s="218" t="str">
        <f>berekeningen!Y17</f>
        <v>De Tubanten 2</v>
      </c>
      <c r="D19" s="218">
        <f>berekeningen!Z17</f>
        <v>4</v>
      </c>
    </row>
    <row r="20" spans="1:4" x14ac:dyDescent="0.3">
      <c r="A20" s="218">
        <v>17</v>
      </c>
      <c r="B20" s="218" t="str">
        <f>IF(berekeningen!X18=0,"",berekeningen!X18)</f>
        <v>Precilla Beune</v>
      </c>
      <c r="C20" s="218" t="str">
        <f>berekeningen!Y18</f>
        <v>De Tubanten 1</v>
      </c>
      <c r="D20" s="218">
        <f>berekeningen!Z18</f>
        <v>4</v>
      </c>
    </row>
    <row r="21" spans="1:4" x14ac:dyDescent="0.3">
      <c r="A21" s="218">
        <v>18</v>
      </c>
      <c r="B21" s="218" t="str">
        <f>IF(berekeningen!X19=0,"",berekeningen!X19)</f>
        <v>Liam Williams</v>
      </c>
      <c r="C21" s="218" t="str">
        <f>berekeningen!Y19</f>
        <v>De Tubanten 1</v>
      </c>
      <c r="D21" s="218">
        <f>berekeningen!Z19</f>
        <v>4</v>
      </c>
    </row>
    <row r="22" spans="1:4" x14ac:dyDescent="0.3">
      <c r="A22" s="218">
        <v>19</v>
      </c>
      <c r="B22" s="218" t="str">
        <f>IF(berekeningen!X20=0,"",berekeningen!X20)</f>
        <v>Kevin Kanters</v>
      </c>
      <c r="C22" s="218" t="str">
        <f>berekeningen!Y20</f>
        <v>VZ&amp;PC Nautilus 1</v>
      </c>
      <c r="D22" s="218">
        <f>berekeningen!Z20</f>
        <v>3</v>
      </c>
    </row>
    <row r="23" spans="1:4" x14ac:dyDescent="0.3">
      <c r="A23" s="218">
        <v>20</v>
      </c>
      <c r="B23" s="218" t="str">
        <f>IF(berekeningen!X21=0,"",berekeningen!X21)</f>
        <v>Corne Braken</v>
      </c>
      <c r="C23" s="218" t="str">
        <f>berekeningen!Y21</f>
        <v>VZ&amp;PC Nautilus 1</v>
      </c>
      <c r="D23" s="218">
        <f>berekeningen!Z21</f>
        <v>3</v>
      </c>
    </row>
    <row r="24" spans="1:4" x14ac:dyDescent="0.3">
      <c r="A24" s="218">
        <v>21</v>
      </c>
      <c r="B24" s="218" t="str">
        <f>IF(berekeningen!X22=0,"",berekeningen!X22)</f>
        <v>Jurriaan Rijnaars</v>
      </c>
      <c r="C24" s="218" t="str">
        <f>berekeningen!Y22</f>
        <v>SVG Den Bosch</v>
      </c>
      <c r="D24" s="218">
        <f>berekeningen!Z22</f>
        <v>3</v>
      </c>
    </row>
    <row r="25" spans="1:4" x14ac:dyDescent="0.3">
      <c r="A25" s="218">
        <v>22</v>
      </c>
      <c r="B25" s="218" t="str">
        <f>IF(berekeningen!X23=0,"",berekeningen!X23)</f>
        <v>Ties Bouten</v>
      </c>
      <c r="C25" s="218" t="str">
        <f>berekeningen!Y23</f>
        <v>RZ Roermond</v>
      </c>
      <c r="D25" s="218">
        <f>berekeningen!Z23</f>
        <v>3</v>
      </c>
    </row>
    <row r="26" spans="1:4" x14ac:dyDescent="0.3">
      <c r="A26" s="218">
        <v>23</v>
      </c>
      <c r="B26" s="218" t="str">
        <f>IF(berekeningen!X24=0,"",berekeningen!X24)</f>
        <v>Tim van den Akker</v>
      </c>
      <c r="C26" s="218" t="str">
        <f>berekeningen!Y24</f>
        <v>Gesposs Geel</v>
      </c>
      <c r="D26" s="218">
        <f>berekeningen!Z24</f>
        <v>3</v>
      </c>
    </row>
    <row r="27" spans="1:4" x14ac:dyDescent="0.3">
      <c r="A27" s="218">
        <v>24</v>
      </c>
      <c r="B27" s="218" t="str">
        <f>IF(berekeningen!X25=0,"",berekeningen!X25)</f>
        <v>Bianca Verbeek</v>
      </c>
      <c r="C27" s="218" t="str">
        <f>berekeningen!Y25</f>
        <v>De Tubanten 2</v>
      </c>
      <c r="D27" s="218">
        <f>berekeningen!Z25</f>
        <v>3</v>
      </c>
    </row>
    <row r="28" spans="1:4" x14ac:dyDescent="0.3">
      <c r="A28" s="218">
        <v>25</v>
      </c>
      <c r="B28" s="218" t="str">
        <f>IF(berekeningen!X26=0,"",berekeningen!X26)</f>
        <v>Andre Buitink</v>
      </c>
      <c r="C28" s="218" t="str">
        <f>berekeningen!Y26</f>
        <v>De Tubanten 1</v>
      </c>
      <c r="D28" s="218">
        <f>berekeningen!Z26</f>
        <v>3</v>
      </c>
    </row>
    <row r="29" spans="1:4" x14ac:dyDescent="0.3">
      <c r="A29" s="218">
        <v>26</v>
      </c>
      <c r="B29" s="218" t="str">
        <f>IF(berekeningen!X27=0,"",berekeningen!X27)</f>
        <v>Stefan van der Wielen</v>
      </c>
      <c r="C29" s="218" t="str">
        <f>berekeningen!Y27</f>
        <v>VZ&amp;PC Nautilus 1</v>
      </c>
      <c r="D29" s="218">
        <f>berekeningen!Z27</f>
        <v>2</v>
      </c>
    </row>
    <row r="30" spans="1:4" x14ac:dyDescent="0.3">
      <c r="A30" s="218">
        <v>27</v>
      </c>
      <c r="B30" s="218" t="str">
        <f>IF(berekeningen!X28=0,"",berekeningen!X28)</f>
        <v>Stefan Hermens</v>
      </c>
      <c r="C30" s="218" t="str">
        <f>berekeningen!Y28</f>
        <v>SVG Den Bosch</v>
      </c>
      <c r="D30" s="218">
        <f>berekeningen!Z28</f>
        <v>2</v>
      </c>
    </row>
    <row r="31" spans="1:4" x14ac:dyDescent="0.3">
      <c r="A31" s="218">
        <v>28</v>
      </c>
      <c r="B31" s="218" t="str">
        <f>IF(berekeningen!X29=0,"",berekeningen!X29)</f>
        <v>Werner Dudek</v>
      </c>
      <c r="C31" s="218" t="str">
        <f>berekeningen!Y29</f>
        <v>RZ Roermond</v>
      </c>
      <c r="D31" s="218">
        <f>berekeningen!Z29</f>
        <v>2</v>
      </c>
    </row>
    <row r="32" spans="1:4" x14ac:dyDescent="0.3">
      <c r="A32" s="218">
        <v>29</v>
      </c>
      <c r="B32" s="218" t="str">
        <f>IF(berekeningen!X30=0,"",berekeningen!X30)</f>
        <v>Jasper van Houtum</v>
      </c>
      <c r="C32" s="218" t="str">
        <f>berekeningen!Y30</f>
        <v>Gesposs Geel</v>
      </c>
      <c r="D32" s="218">
        <f>berekeningen!Z30</f>
        <v>2</v>
      </c>
    </row>
    <row r="33" spans="1:4" x14ac:dyDescent="0.3">
      <c r="A33" s="218">
        <v>30</v>
      </c>
      <c r="B33" s="218" t="str">
        <f>IF(berekeningen!X31=0,"",berekeningen!X31)</f>
        <v>Marieke van Namen</v>
      </c>
      <c r="C33" s="218" t="str">
        <f>berekeningen!Y31</f>
        <v>Gesposs Blauw</v>
      </c>
      <c r="D33" s="218">
        <f>berekeningen!Z31</f>
        <v>2</v>
      </c>
    </row>
    <row r="34" spans="1:4" x14ac:dyDescent="0.3">
      <c r="A34" s="218">
        <v>31</v>
      </c>
      <c r="B34" s="218" t="str">
        <f>IF(berekeningen!X32=0,"",berekeningen!X32)</f>
        <v>Celine van de Heuvel</v>
      </c>
      <c r="C34" s="218" t="str">
        <f>berekeningen!Y32</f>
        <v>Gesposs Blauw</v>
      </c>
      <c r="D34" s="218">
        <f>berekeningen!Z32</f>
        <v>2</v>
      </c>
    </row>
    <row r="35" spans="1:4" x14ac:dyDescent="0.3">
      <c r="A35" s="218">
        <v>32</v>
      </c>
      <c r="B35" s="218" t="str">
        <f>IF(berekeningen!X33=0,"",berekeningen!X33)</f>
        <v>Susan van Wanrooy</v>
      </c>
      <c r="C35" s="218" t="str">
        <f>berekeningen!Y33</f>
        <v>VZ&amp;PC Nautilus 2</v>
      </c>
      <c r="D35" s="218">
        <f>berekeningen!Z33</f>
        <v>1</v>
      </c>
    </row>
    <row r="36" spans="1:4" x14ac:dyDescent="0.3">
      <c r="A36" s="218">
        <v>33</v>
      </c>
      <c r="B36" s="218" t="str">
        <f>IF(berekeningen!X34=0,"",berekeningen!X34)</f>
        <v>Mieke van Gerwen</v>
      </c>
      <c r="C36" s="218" t="str">
        <f>berekeningen!Y34</f>
        <v>VZ&amp;PC Nautilus 2</v>
      </c>
      <c r="D36" s="218">
        <f>berekeningen!Z34</f>
        <v>1</v>
      </c>
    </row>
    <row r="37" spans="1:4" x14ac:dyDescent="0.3">
      <c r="A37" s="218">
        <v>34</v>
      </c>
      <c r="B37" s="218" t="str">
        <f>IF(berekeningen!X35=0,"",berekeningen!X35)</f>
        <v>Marga Schouten</v>
      </c>
      <c r="C37" s="218" t="str">
        <f>berekeningen!Y35</f>
        <v>VZ&amp;PC Nautilus 2</v>
      </c>
      <c r="D37" s="218">
        <f>berekeningen!Z35</f>
        <v>1</v>
      </c>
    </row>
    <row r="38" spans="1:4" x14ac:dyDescent="0.3">
      <c r="A38" s="218">
        <v>35</v>
      </c>
      <c r="B38" s="218" t="str">
        <f>IF(berekeningen!X36=0,"",berekeningen!X36)</f>
        <v>Monique Schouten</v>
      </c>
      <c r="C38" s="218" t="str">
        <f>berekeningen!Y36</f>
        <v>VZ&amp;PC Nautilus 1</v>
      </c>
      <c r="D38" s="312">
        <f>berekeningen!Z36</f>
        <v>1</v>
      </c>
    </row>
    <row r="39" spans="1:4" x14ac:dyDescent="0.3">
      <c r="A39" s="218">
        <v>36</v>
      </c>
      <c r="B39" s="218" t="str">
        <f>IF(berekeningen!X37=0,"",berekeningen!X37)</f>
        <v>Jan Zegers</v>
      </c>
      <c r="C39" s="218" t="str">
        <f>berekeningen!Y37</f>
        <v>VZ&amp;PC Nautilus 1</v>
      </c>
      <c r="D39" s="218">
        <f>berekeningen!Z37</f>
        <v>1</v>
      </c>
    </row>
    <row r="40" spans="1:4" x14ac:dyDescent="0.3">
      <c r="A40" s="218">
        <v>37</v>
      </c>
      <c r="B40" s="218" t="str">
        <f>IF(berekeningen!X38=0,"",berekeningen!X38)</f>
        <v>Robby van Gruythuysen</v>
      </c>
      <c r="C40" s="218" t="str">
        <f>berekeningen!Y38</f>
        <v>SVG Den Bosch</v>
      </c>
      <c r="D40" s="218">
        <f>berekeningen!Z38</f>
        <v>1</v>
      </c>
    </row>
    <row r="41" spans="1:4" x14ac:dyDescent="0.3">
      <c r="A41" s="218">
        <v>38</v>
      </c>
      <c r="B41" s="218" t="str">
        <f>IF(berekeningen!X39=0,"",berekeningen!X39)</f>
        <v>Lucas van Osch</v>
      </c>
      <c r="C41" s="218" t="str">
        <f>berekeningen!Y39</f>
        <v>SVG Den Bosch</v>
      </c>
      <c r="D41" s="218">
        <f>berekeningen!Z39</f>
        <v>1</v>
      </c>
    </row>
    <row r="42" spans="1:4" x14ac:dyDescent="0.3">
      <c r="A42" s="218">
        <v>39</v>
      </c>
      <c r="B42" s="218" t="str">
        <f>IF(berekeningen!X40=0,"",berekeningen!X40)</f>
        <v>Bjorn Blom</v>
      </c>
      <c r="C42" s="218" t="str">
        <f>berekeningen!Y40</f>
        <v>SVG Den Bosch</v>
      </c>
      <c r="D42" s="218">
        <f>berekeningen!Z40</f>
        <v>1</v>
      </c>
    </row>
    <row r="43" spans="1:4" x14ac:dyDescent="0.3">
      <c r="A43" s="218">
        <v>40</v>
      </c>
      <c r="B43" s="218" t="str">
        <f>IF(berekeningen!X41=0,"",berekeningen!X41)</f>
        <v>Sonja Bouten</v>
      </c>
      <c r="C43" s="218" t="str">
        <f>berekeningen!Y41</f>
        <v>RZ Roermond</v>
      </c>
      <c r="D43" s="218">
        <f>berekeningen!Z41</f>
        <v>1</v>
      </c>
    </row>
    <row r="44" spans="1:4" x14ac:dyDescent="0.3">
      <c r="A44" s="218">
        <v>41</v>
      </c>
      <c r="B44" s="218" t="str">
        <f>IF(berekeningen!X42=0,"",berekeningen!X42)</f>
        <v>Kevin van Boekel</v>
      </c>
      <c r="C44" s="218" t="str">
        <f>berekeningen!Y42</f>
        <v>Gesposs Geel</v>
      </c>
      <c r="D44" s="218">
        <f>berekeningen!Z42</f>
        <v>1</v>
      </c>
    </row>
    <row r="45" spans="1:4" x14ac:dyDescent="0.3">
      <c r="A45" s="218">
        <v>42</v>
      </c>
      <c r="B45" s="218" t="str">
        <f>IF(berekeningen!X43=0,"",berekeningen!X43)</f>
        <v>Joran van Achteren</v>
      </c>
      <c r="C45" s="218" t="str">
        <f>berekeningen!Y43</f>
        <v>De Tubanten 2</v>
      </c>
      <c r="D45" s="218">
        <f>berekeningen!Z43</f>
        <v>1</v>
      </c>
    </row>
    <row r="46" spans="1:4" x14ac:dyDescent="0.3">
      <c r="A46" s="218">
        <v>43</v>
      </c>
      <c r="B46" s="218" t="str">
        <f>IF(berekeningen!X44=0,"",berekeningen!X44)</f>
        <v>Mark van der Heijden (leen)</v>
      </c>
      <c r="C46" s="218" t="str">
        <f>berekeningen!Y44</f>
        <v>Aqua Novio</v>
      </c>
      <c r="D46" s="218">
        <f>berekeningen!Z44</f>
        <v>1</v>
      </c>
    </row>
    <row r="47" spans="1:4" x14ac:dyDescent="0.3">
      <c r="A47" s="218">
        <v>44</v>
      </c>
      <c r="B47" s="218" t="str">
        <f>IF(berekeningen!X45=0,"",berekeningen!X45)</f>
        <v>Willy van Grunsven</v>
      </c>
      <c r="C47" s="218" t="str">
        <f>berekeningen!Y45</f>
        <v>VZ&amp;PC Nautilus 2</v>
      </c>
      <c r="D47" s="218">
        <f>berekeningen!Z45</f>
        <v>0</v>
      </c>
    </row>
    <row r="48" spans="1:4" x14ac:dyDescent="0.3">
      <c r="A48" s="218">
        <v>45</v>
      </c>
      <c r="B48" s="218" t="str">
        <f>IF(berekeningen!X46=0,"",berekeningen!X46)</f>
        <v>Manuel Bastiaans</v>
      </c>
      <c r="C48" s="218" t="str">
        <f>berekeningen!Y46</f>
        <v>VZ&amp;PC Nautilus 2</v>
      </c>
      <c r="D48" s="218">
        <f>berekeningen!Z46</f>
        <v>0</v>
      </c>
    </row>
    <row r="49" spans="1:4" x14ac:dyDescent="0.3">
      <c r="A49" s="218">
        <v>46</v>
      </c>
      <c r="B49" s="218" t="str">
        <f>IF(berekeningen!X47=0,"",berekeningen!X47)</f>
        <v>Anja Braken</v>
      </c>
      <c r="C49" s="218" t="str">
        <f>berekeningen!Y47</f>
        <v>VZ&amp;PC Nautilus 2</v>
      </c>
      <c r="D49" s="218">
        <f>berekeningen!Z47</f>
        <v>0</v>
      </c>
    </row>
    <row r="50" spans="1:4" x14ac:dyDescent="0.3">
      <c r="A50" s="218">
        <v>47</v>
      </c>
      <c r="B50" s="218" t="str">
        <f>IF(berekeningen!X48=0,"",berekeningen!X48)</f>
        <v/>
      </c>
      <c r="C50" s="218" t="str">
        <f>berekeningen!Y48</f>
        <v>VZ&amp;PC Nautilus 2</v>
      </c>
      <c r="D50" s="218">
        <f>berekeningen!Z48</f>
        <v>0</v>
      </c>
    </row>
    <row r="51" spans="1:4" x14ac:dyDescent="0.3">
      <c r="A51" s="218">
        <v>48</v>
      </c>
      <c r="B51" s="218" t="str">
        <f>IF(berekeningen!X49=0,"",berekeningen!X49)</f>
        <v/>
      </c>
      <c r="C51" s="218" t="str">
        <f>berekeningen!Y49</f>
        <v>VZ&amp;PC Nautilus 2</v>
      </c>
      <c r="D51" s="218">
        <f>berekeningen!Z49</f>
        <v>0</v>
      </c>
    </row>
    <row r="52" spans="1:4" x14ac:dyDescent="0.3">
      <c r="A52" s="218">
        <v>49</v>
      </c>
      <c r="B52" s="218" t="str">
        <f>IF(berekeningen!X50=0,"",berekeningen!X50)</f>
        <v/>
      </c>
      <c r="C52" s="218" t="str">
        <f>berekeningen!Y50</f>
        <v>VZ&amp;PC Nautilus 2</v>
      </c>
      <c r="D52" s="218">
        <f>berekeningen!Z50</f>
        <v>0</v>
      </c>
    </row>
    <row r="53" spans="1:4" x14ac:dyDescent="0.3">
      <c r="A53" s="218">
        <v>50</v>
      </c>
      <c r="B53" s="218" t="str">
        <f>IF(berekeningen!X51=0,"",berekeningen!X51)</f>
        <v>Miranda van Schaijk</v>
      </c>
      <c r="C53" s="218" t="str">
        <f>berekeningen!Y51</f>
        <v>VZ&amp;PC Nautilus 1</v>
      </c>
      <c r="D53" s="218">
        <f>berekeningen!Z51</f>
        <v>0</v>
      </c>
    </row>
    <row r="54" spans="1:4" x14ac:dyDescent="0.3">
      <c r="A54" s="218">
        <v>51</v>
      </c>
      <c r="B54" s="218" t="str">
        <f>IF(berekeningen!X52=0,"",berekeningen!X52)</f>
        <v/>
      </c>
      <c r="C54" s="218" t="str">
        <f>berekeningen!Y52</f>
        <v>VZ&amp;PC Nautilus 1</v>
      </c>
      <c r="D54" s="218">
        <f>berekeningen!Z52</f>
        <v>0</v>
      </c>
    </row>
    <row r="55" spans="1:4" x14ac:dyDescent="0.3">
      <c r="A55" s="218">
        <v>52</v>
      </c>
      <c r="B55" s="218" t="str">
        <f>IF(berekeningen!X53=0,"",berekeningen!X53)</f>
        <v/>
      </c>
      <c r="C55" s="218" t="str">
        <f>berekeningen!Y53</f>
        <v>VZ&amp;PC Nautilus 1</v>
      </c>
      <c r="D55" s="218">
        <f>berekeningen!Z53</f>
        <v>0</v>
      </c>
    </row>
    <row r="56" spans="1:4" x14ac:dyDescent="0.3">
      <c r="A56" s="218">
        <v>53</v>
      </c>
      <c r="B56" s="218" t="str">
        <f>IF(berekeningen!X54=0,"",berekeningen!X54)</f>
        <v/>
      </c>
      <c r="C56" s="218" t="str">
        <f>berekeningen!Y54</f>
        <v>VZ&amp;PC Nautilus 1</v>
      </c>
      <c r="D56" s="218">
        <f>berekeningen!Z54</f>
        <v>0</v>
      </c>
    </row>
    <row r="57" spans="1:4" x14ac:dyDescent="0.3">
      <c r="A57" s="218">
        <v>54</v>
      </c>
      <c r="B57" s="218" t="str">
        <f>IF(berekeningen!X55=0,"",berekeningen!X55)</f>
        <v>Sara van Grinsven</v>
      </c>
      <c r="C57" s="218" t="str">
        <f>berekeningen!Y55</f>
        <v>SVG Den Bosch</v>
      </c>
      <c r="D57" s="218">
        <f>berekeningen!Z55</f>
        <v>0</v>
      </c>
    </row>
    <row r="58" spans="1:4" x14ac:dyDescent="0.3">
      <c r="A58" s="218">
        <v>55</v>
      </c>
      <c r="B58" s="218" t="str">
        <f>IF(berekeningen!X56=0,"",berekeningen!X56)</f>
        <v>Peter Schwering</v>
      </c>
      <c r="C58" s="218" t="str">
        <f>berekeningen!Y56</f>
        <v>SVG Den Bosch</v>
      </c>
      <c r="D58" s="218">
        <f>berekeningen!Z56</f>
        <v>0</v>
      </c>
    </row>
    <row r="59" spans="1:4" x14ac:dyDescent="0.3">
      <c r="A59" s="218">
        <v>56</v>
      </c>
      <c r="B59" s="218" t="str">
        <f>IF(berekeningen!X57=0,"",berekeningen!X57)</f>
        <v/>
      </c>
      <c r="C59" s="218" t="str">
        <f>berekeningen!Y57</f>
        <v>SVG Den Bosch</v>
      </c>
      <c r="D59" s="218">
        <f>berekeningen!Z57</f>
        <v>0</v>
      </c>
    </row>
    <row r="60" spans="1:4" x14ac:dyDescent="0.3">
      <c r="A60" s="218">
        <v>57</v>
      </c>
      <c r="B60" s="218" t="str">
        <f>IF(berekeningen!X58=0,"",berekeningen!X58)</f>
        <v>Luc Mulder</v>
      </c>
      <c r="C60" s="218" t="str">
        <f>berekeningen!Y58</f>
        <v>RZ Roermond</v>
      </c>
      <c r="D60" s="218">
        <f>berekeningen!Z58</f>
        <v>0</v>
      </c>
    </row>
    <row r="61" spans="1:4" x14ac:dyDescent="0.3">
      <c r="A61" s="218">
        <v>58</v>
      </c>
      <c r="B61" s="218" t="str">
        <f>IF(berekeningen!X59=0,"",berekeningen!X59)</f>
        <v>Helga Addink</v>
      </c>
      <c r="C61" s="218" t="str">
        <f>berekeningen!Y59</f>
        <v>RZ Roermond</v>
      </c>
      <c r="D61" s="218">
        <f>berekeningen!Z59</f>
        <v>0</v>
      </c>
    </row>
    <row r="62" spans="1:4" x14ac:dyDescent="0.3">
      <c r="A62" s="218">
        <v>59</v>
      </c>
      <c r="B62" s="218" t="str">
        <f>IF(berekeningen!X60=0,"",berekeningen!X60)</f>
        <v>Hans Reijnders (leen)</v>
      </c>
      <c r="C62" s="218" t="str">
        <f>berekeningen!Y60</f>
        <v>RZ Roermond</v>
      </c>
      <c r="D62" s="218">
        <f>berekeningen!Z60</f>
        <v>0</v>
      </c>
    </row>
    <row r="63" spans="1:4" x14ac:dyDescent="0.3">
      <c r="A63" s="218">
        <v>60</v>
      </c>
      <c r="B63" s="218" t="str">
        <f>IF(berekeningen!X61=0,"",berekeningen!X61)</f>
        <v/>
      </c>
      <c r="C63" s="218" t="str">
        <f>berekeningen!Y61</f>
        <v>RZ Roermond</v>
      </c>
      <c r="D63" s="218">
        <f>berekeningen!Z61</f>
        <v>0</v>
      </c>
    </row>
    <row r="64" spans="1:4" x14ac:dyDescent="0.3">
      <c r="A64" s="218">
        <v>61</v>
      </c>
      <c r="B64" s="218" t="str">
        <f>IF(berekeningen!X62=0,"",berekeningen!X62)</f>
        <v/>
      </c>
      <c r="C64" s="218" t="str">
        <f>berekeningen!Y62</f>
        <v>RZ Roermond</v>
      </c>
      <c r="D64" s="218">
        <f>berekeningen!Z62</f>
        <v>0</v>
      </c>
    </row>
    <row r="65" spans="1:4" x14ac:dyDescent="0.3">
      <c r="A65" s="218">
        <v>62</v>
      </c>
      <c r="B65" s="218" t="str">
        <f>IF(berekeningen!X63=0,"",berekeningen!X63)</f>
        <v/>
      </c>
      <c r="C65" s="218" t="str">
        <f>berekeningen!Y63</f>
        <v>RZ Roermond</v>
      </c>
      <c r="D65" s="218">
        <f>berekeningen!Z63</f>
        <v>0</v>
      </c>
    </row>
    <row r="66" spans="1:4" x14ac:dyDescent="0.3">
      <c r="A66" s="218">
        <v>63</v>
      </c>
      <c r="B66" s="218" t="str">
        <f>IF(berekeningen!X64=0,"",berekeningen!X64)</f>
        <v>Marloes Beks-Geurts</v>
      </c>
      <c r="C66" s="218" t="str">
        <f>berekeningen!Y64</f>
        <v>Gesposs Geel</v>
      </c>
      <c r="D66" s="218">
        <f>berekeningen!Z64</f>
        <v>0</v>
      </c>
    </row>
    <row r="67" spans="1:4" x14ac:dyDescent="0.3">
      <c r="A67" s="218">
        <v>64</v>
      </c>
      <c r="B67" s="218" t="str">
        <f>IF(berekeningen!X65=0,"",berekeningen!X65)</f>
        <v>Lincy Ruijs</v>
      </c>
      <c r="C67" s="218" t="str">
        <f>berekeningen!Y65</f>
        <v>Gesposs Geel</v>
      </c>
      <c r="D67" s="218">
        <f>berekeningen!Z65</f>
        <v>0</v>
      </c>
    </row>
    <row r="68" spans="1:4" x14ac:dyDescent="0.3">
      <c r="A68" s="218">
        <v>65</v>
      </c>
      <c r="B68" s="218" t="str">
        <f>IF(berekeningen!X66=0,"",berekeningen!X66)</f>
        <v>Kim Wolf</v>
      </c>
      <c r="C68" s="218" t="str">
        <f>berekeningen!Y66</f>
        <v>Gesposs Geel</v>
      </c>
      <c r="D68" s="218">
        <f>berekeningen!Z66</f>
        <v>0</v>
      </c>
    </row>
    <row r="69" spans="1:4" x14ac:dyDescent="0.3">
      <c r="A69" s="218">
        <v>66</v>
      </c>
      <c r="B69" s="218" t="str">
        <f>IF(berekeningen!X67=0,"",berekeningen!X67)</f>
        <v>Kevin van Kollenburg</v>
      </c>
      <c r="C69" s="218" t="str">
        <f>berekeningen!Y67</f>
        <v>Gesposs Geel</v>
      </c>
      <c r="D69" s="218">
        <f>berekeningen!Z67</f>
        <v>0</v>
      </c>
    </row>
    <row r="70" spans="1:4" x14ac:dyDescent="0.3">
      <c r="A70" s="218">
        <v>67</v>
      </c>
      <c r="B70" s="218" t="str">
        <f>IF(berekeningen!X68=0,"",berekeningen!X68)</f>
        <v>Finn van der Krift</v>
      </c>
      <c r="C70" s="218" t="str">
        <f>berekeningen!Y68</f>
        <v>Gesposs Geel</v>
      </c>
      <c r="D70" s="218">
        <f>berekeningen!Z68</f>
        <v>0</v>
      </c>
    </row>
    <row r="71" spans="1:4" x14ac:dyDescent="0.3">
      <c r="A71" s="218">
        <v>68</v>
      </c>
      <c r="B71" s="218" t="str">
        <f>IF(berekeningen!X69=0,"",berekeningen!X69)</f>
        <v>Wendy Kuysters</v>
      </c>
      <c r="C71" s="218" t="str">
        <f>berekeningen!Y69</f>
        <v>Gesposs Blauw</v>
      </c>
      <c r="D71" s="218">
        <f>berekeningen!Z69</f>
        <v>0</v>
      </c>
    </row>
    <row r="72" spans="1:4" x14ac:dyDescent="0.3">
      <c r="A72" s="218">
        <v>69</v>
      </c>
      <c r="B72" s="218" t="str">
        <f>IF(berekeningen!X70=0,"",berekeningen!X70)</f>
        <v>Niels Venterink</v>
      </c>
      <c r="C72" s="218" t="str">
        <f>berekeningen!Y70</f>
        <v>Gesposs Blauw</v>
      </c>
      <c r="D72" s="218">
        <f>berekeningen!Z70</f>
        <v>0</v>
      </c>
    </row>
    <row r="73" spans="1:4" x14ac:dyDescent="0.3">
      <c r="A73" s="218">
        <v>70</v>
      </c>
      <c r="B73" s="218" t="str">
        <f>IF(berekeningen!X71=0,"",berekeningen!X71)</f>
        <v>Kristel Henst</v>
      </c>
      <c r="C73" s="218" t="str">
        <f>berekeningen!Y71</f>
        <v>Gesposs Blauw</v>
      </c>
      <c r="D73" s="218">
        <f>berekeningen!Z71</f>
        <v>0</v>
      </c>
    </row>
    <row r="74" spans="1:4" x14ac:dyDescent="0.3">
      <c r="A74" s="218">
        <v>71</v>
      </c>
      <c r="B74" s="218" t="str">
        <f>IF(berekeningen!X72=0,"",berekeningen!X72)</f>
        <v>Jack Steeghs</v>
      </c>
      <c r="C74" s="218" t="str">
        <f>berekeningen!Y72</f>
        <v>Gesposs Blauw</v>
      </c>
      <c r="D74" s="218">
        <f>berekeningen!Z72</f>
        <v>0</v>
      </c>
    </row>
    <row r="75" spans="1:4" x14ac:dyDescent="0.3">
      <c r="A75" s="218">
        <v>72</v>
      </c>
      <c r="B75" s="218" t="str">
        <f>IF(berekeningen!X73=0,"",berekeningen!X73)</f>
        <v/>
      </c>
      <c r="C75" s="218" t="str">
        <f>berekeningen!Y73</f>
        <v>Gesposs Blauw</v>
      </c>
      <c r="D75" s="218">
        <f>berekeningen!Z73</f>
        <v>0</v>
      </c>
    </row>
    <row r="76" spans="1:4" x14ac:dyDescent="0.3">
      <c r="A76" s="218">
        <v>73</v>
      </c>
      <c r="B76" s="218" t="str">
        <f>IF(berekeningen!X74=0,"",berekeningen!X74)</f>
        <v>Yevgeni Petrov</v>
      </c>
      <c r="C76" s="218" t="str">
        <f>berekeningen!Y74</f>
        <v>De Tubanten 2</v>
      </c>
      <c r="D76" s="218">
        <f>berekeningen!Z74</f>
        <v>0</v>
      </c>
    </row>
    <row r="77" spans="1:4" x14ac:dyDescent="0.3">
      <c r="A77" s="218">
        <v>74</v>
      </c>
      <c r="B77" s="218" t="str">
        <f>IF(berekeningen!X75=0,"",berekeningen!X75)</f>
        <v>Wouter van Schip</v>
      </c>
      <c r="C77" s="218" t="str">
        <f>berekeningen!Y75</f>
        <v>De Tubanten 2</v>
      </c>
      <c r="D77" s="218">
        <f>berekeningen!Z75</f>
        <v>0</v>
      </c>
    </row>
    <row r="78" spans="1:4" x14ac:dyDescent="0.3">
      <c r="A78" s="218">
        <v>75</v>
      </c>
      <c r="B78" s="218" t="str">
        <f>IF(berekeningen!X76=0,"",berekeningen!X76)</f>
        <v>Monique Bijker</v>
      </c>
      <c r="C78" s="218" t="str">
        <f>berekeningen!Y76</f>
        <v>De Tubanten 2</v>
      </c>
      <c r="D78" s="218">
        <f>berekeningen!Z76</f>
        <v>0</v>
      </c>
    </row>
    <row r="79" spans="1:4" x14ac:dyDescent="0.3">
      <c r="A79" s="218">
        <v>76</v>
      </c>
      <c r="B79" s="218" t="str">
        <f>IF(berekeningen!X77=0,"",berekeningen!X77)</f>
        <v>Maiker Arends</v>
      </c>
      <c r="C79" s="218" t="str">
        <f>berekeningen!Y77</f>
        <v>De Tubanten 2</v>
      </c>
      <c r="D79" s="218">
        <f>berekeningen!Z77</f>
        <v>0</v>
      </c>
    </row>
    <row r="80" spans="1:4" x14ac:dyDescent="0.3">
      <c r="A80" s="218">
        <v>77</v>
      </c>
      <c r="B80" s="218" t="str">
        <f>IF(berekeningen!X78=0,"",berekeningen!X78)</f>
        <v/>
      </c>
      <c r="C80" s="218" t="str">
        <f>berekeningen!Y78</f>
        <v>De Tubanten 2</v>
      </c>
      <c r="D80" s="218">
        <f>berekeningen!Z78</f>
        <v>0</v>
      </c>
    </row>
    <row r="81" spans="1:4" x14ac:dyDescent="0.3">
      <c r="A81" s="218">
        <v>78</v>
      </c>
      <c r="B81" s="218" t="str">
        <f>IF(berekeningen!X79=0,"",berekeningen!X79)</f>
        <v/>
      </c>
      <c r="C81" s="218" t="str">
        <f>berekeningen!Y79</f>
        <v>De Tubanten 2</v>
      </c>
      <c r="D81" s="218">
        <f>berekeningen!Z79</f>
        <v>0</v>
      </c>
    </row>
    <row r="82" spans="1:4" x14ac:dyDescent="0.3">
      <c r="A82" s="218">
        <v>79</v>
      </c>
      <c r="B82" s="218" t="str">
        <f>IF(berekeningen!X80=0,"",berekeningen!X80)</f>
        <v>Sean Williams</v>
      </c>
      <c r="C82" s="218" t="str">
        <f>berekeningen!Y80</f>
        <v>De Tubanten 1</v>
      </c>
      <c r="D82" s="218">
        <f>berekeningen!Z80</f>
        <v>0</v>
      </c>
    </row>
    <row r="83" spans="1:4" x14ac:dyDescent="0.3">
      <c r="A83" s="218">
        <v>80</v>
      </c>
      <c r="B83" s="218" t="str">
        <f>IF(berekeningen!X81=0,"",berekeningen!X81)</f>
        <v>Marco Ensink</v>
      </c>
      <c r="C83" s="218" t="str">
        <f>berekeningen!Y81</f>
        <v>De Tubanten 1</v>
      </c>
      <c r="D83" s="218">
        <f>berekeningen!Z81</f>
        <v>0</v>
      </c>
    </row>
    <row r="84" spans="1:4" x14ac:dyDescent="0.3">
      <c r="A84" s="218">
        <v>81</v>
      </c>
      <c r="B84" s="218" t="str">
        <f>IF(berekeningen!X82=0,"",berekeningen!X82)</f>
        <v/>
      </c>
      <c r="C84" s="218" t="str">
        <f>berekeningen!Y82</f>
        <v>De Tubanten 1</v>
      </c>
      <c r="D84" s="218">
        <f>berekeningen!Z82</f>
        <v>0</v>
      </c>
    </row>
    <row r="85" spans="1:4" x14ac:dyDescent="0.3">
      <c r="A85" s="218">
        <v>82</v>
      </c>
      <c r="B85" s="218" t="str">
        <f>IF(berekeningen!X83=0,"",berekeningen!X83)</f>
        <v/>
      </c>
      <c r="C85" s="218" t="str">
        <f>berekeningen!Y83</f>
        <v>De Tubanten 1</v>
      </c>
      <c r="D85" s="218">
        <f>berekeningen!Z83</f>
        <v>0</v>
      </c>
    </row>
    <row r="86" spans="1:4" x14ac:dyDescent="0.3">
      <c r="A86" s="218">
        <v>83</v>
      </c>
      <c r="B86" s="218" t="str">
        <f>IF(berekeningen!X84=0,"",berekeningen!X84)</f>
        <v/>
      </c>
      <c r="C86" s="218" t="str">
        <f>berekeningen!Y84</f>
        <v>De Tubanten 1</v>
      </c>
      <c r="D86" s="218">
        <f>berekeningen!Z84</f>
        <v>0</v>
      </c>
    </row>
    <row r="87" spans="1:4" x14ac:dyDescent="0.3">
      <c r="A87" s="218">
        <v>84</v>
      </c>
      <c r="B87" s="218" t="str">
        <f>IF(berekeningen!X85=0,"",berekeningen!X85)</f>
        <v>Mo</v>
      </c>
      <c r="C87" s="218" t="str">
        <f>berekeningen!Y85</f>
        <v>Aqua Novio</v>
      </c>
      <c r="D87" s="218">
        <f>berekeningen!Z85</f>
        <v>0</v>
      </c>
    </row>
    <row r="88" spans="1:4" x14ac:dyDescent="0.3">
      <c r="A88" s="218">
        <v>85</v>
      </c>
      <c r="B88" s="218" t="str">
        <f>IF(berekeningen!X86=0,"",berekeningen!X86)</f>
        <v>Lorenz Gerritz</v>
      </c>
      <c r="C88" s="218" t="str">
        <f>berekeningen!Y86</f>
        <v>Aqua Novio</v>
      </c>
      <c r="D88" s="218">
        <f>berekeningen!Z86</f>
        <v>0</v>
      </c>
    </row>
    <row r="89" spans="1:4" x14ac:dyDescent="0.3">
      <c r="A89" s="218">
        <v>86</v>
      </c>
      <c r="B89" s="218" t="str">
        <f>IF(berekeningen!X87=0,"",berekeningen!X87)</f>
        <v>Lisa</v>
      </c>
      <c r="C89" s="218" t="str">
        <f>berekeningen!Y87</f>
        <v>Aqua Novio</v>
      </c>
      <c r="D89" s="218">
        <f>berekeningen!Z87</f>
        <v>0</v>
      </c>
    </row>
    <row r="90" spans="1:4" x14ac:dyDescent="0.3">
      <c r="A90" s="218">
        <v>87</v>
      </c>
      <c r="B90" s="218" t="str">
        <f>IF(berekeningen!X88=0,"",berekeningen!X88)</f>
        <v>Jop van Weel</v>
      </c>
      <c r="C90" s="218" t="str">
        <f>berekeningen!Y88</f>
        <v>Aqua Novio</v>
      </c>
      <c r="D90" s="218">
        <f>berekeningen!Z88</f>
        <v>0</v>
      </c>
    </row>
    <row r="91" spans="1:4" x14ac:dyDescent="0.3">
      <c r="A91" s="218">
        <v>88</v>
      </c>
      <c r="B91" s="218" t="str">
        <f>IF(berekeningen!X89=0,"",berekeningen!X89)</f>
        <v>Doan Tran Thi Tuc</v>
      </c>
      <c r="C91" s="218" t="str">
        <f>berekeningen!Y89</f>
        <v>Aqua Novio</v>
      </c>
      <c r="D91" s="218">
        <f>berekeningen!Z89</f>
        <v>0</v>
      </c>
    </row>
    <row r="92" spans="1:4" x14ac:dyDescent="0.3">
      <c r="A92" s="218">
        <v>89</v>
      </c>
      <c r="B92" s="218" t="str">
        <f>IF(berekeningen!X90=0,"",berekeningen!X90)</f>
        <v>Collin Bijnen</v>
      </c>
      <c r="C92" s="218" t="str">
        <f>berekeningen!Y90</f>
        <v>Aqua Novio</v>
      </c>
      <c r="D92" s="218">
        <f>berekeningen!Z90</f>
        <v>0</v>
      </c>
    </row>
    <row r="93" spans="1:4" x14ac:dyDescent="0.3">
      <c r="A93" s="218">
        <v>90</v>
      </c>
      <c r="B93" s="218" t="str">
        <f>IF(berekeningen!X91=0,"",berekeningen!X91)</f>
        <v/>
      </c>
      <c r="C93" s="218" t="str">
        <f>berekeningen!Y91</f>
        <v>Aqua Novio</v>
      </c>
      <c r="D93" s="218">
        <f>berekeningen!Z91</f>
        <v>0</v>
      </c>
    </row>
  </sheetData>
  <sheetProtection sheet="1" objects="1" scenarios="1" autoFilter="0"/>
  <autoFilter ref="A3:D93" xr:uid="{5A0E210D-5EEE-457B-97DF-35025CC23A34}"/>
  <mergeCells count="2">
    <mergeCell ref="A1:M1"/>
    <mergeCell ref="H5:K7"/>
  </mergeCells>
  <conditionalFormatting sqref="A4:D4 B5:B93">
    <cfRule type="cellIs" priority="3" operator="greaterThan">
      <formula>$F$4</formula>
    </cfRule>
  </conditionalFormatting>
  <hyperlinks>
    <hyperlink ref="H5:K7" location="Wedstrijden!A1" display="Wedstrijdschema" xr:uid="{2BD6525C-074C-40B9-88BB-49D32F47ADA2}"/>
  </hyperlinks>
  <pageMargins left="0.7" right="0.7" top="0.75" bottom="0.75" header="0.3" footer="0.3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4907-9D60-4065-BA1C-BAC556D7BA36}">
  <dimension ref="A1:IV73"/>
  <sheetViews>
    <sheetView workbookViewId="0">
      <selection activeCell="E33" sqref="E33"/>
    </sheetView>
  </sheetViews>
  <sheetFormatPr defaultRowHeight="13.8" x14ac:dyDescent="0.3"/>
  <cols>
    <col min="1" max="6" width="2.33203125" style="38" customWidth="1"/>
    <col min="7" max="7" width="3.33203125" style="38" customWidth="1"/>
    <col min="8" max="8" width="2.33203125" style="38" customWidth="1"/>
    <col min="9" max="9" width="3.33203125" style="38" customWidth="1"/>
    <col min="10" max="25" width="2.33203125" style="38" customWidth="1"/>
    <col min="26" max="28" width="2.109375" style="38" customWidth="1"/>
    <col min="29" max="29" width="3" style="38" customWidth="1"/>
    <col min="30" max="30" width="2.109375" style="39" customWidth="1"/>
    <col min="31" max="39" width="2.33203125" style="38" customWidth="1"/>
    <col min="40" max="40" width="2.109375" style="38" customWidth="1"/>
    <col min="41" max="41" width="3.33203125" style="38" customWidth="1"/>
    <col min="42" max="43" width="2.109375" style="38" customWidth="1"/>
    <col min="44" max="44" width="3.33203125" style="38" customWidth="1"/>
    <col min="45" max="45" width="9.109375" style="38"/>
    <col min="46" max="56" width="9.109375" style="38" hidden="1" customWidth="1"/>
    <col min="57" max="62" width="9.109375" style="38"/>
    <col min="63" max="69" width="0" style="38" hidden="1" customWidth="1"/>
    <col min="70" max="256" width="9.109375" style="38"/>
    <col min="257" max="281" width="2.33203125" style="38" customWidth="1"/>
    <col min="282" max="286" width="2.109375" style="38" customWidth="1"/>
    <col min="287" max="295" width="2.33203125" style="38" customWidth="1"/>
    <col min="296" max="300" width="2.109375" style="38" customWidth="1"/>
    <col min="301" max="512" width="9.109375" style="38"/>
    <col min="513" max="537" width="2.33203125" style="38" customWidth="1"/>
    <col min="538" max="542" width="2.109375" style="38" customWidth="1"/>
    <col min="543" max="551" width="2.33203125" style="38" customWidth="1"/>
    <col min="552" max="556" width="2.109375" style="38" customWidth="1"/>
    <col min="557" max="768" width="9.109375" style="38"/>
    <col min="769" max="793" width="2.33203125" style="38" customWidth="1"/>
    <col min="794" max="798" width="2.109375" style="38" customWidth="1"/>
    <col min="799" max="807" width="2.33203125" style="38" customWidth="1"/>
    <col min="808" max="812" width="2.109375" style="38" customWidth="1"/>
    <col min="813" max="1024" width="9.109375" style="38"/>
    <col min="1025" max="1049" width="2.33203125" style="38" customWidth="1"/>
    <col min="1050" max="1054" width="2.109375" style="38" customWidth="1"/>
    <col min="1055" max="1063" width="2.33203125" style="38" customWidth="1"/>
    <col min="1064" max="1068" width="2.109375" style="38" customWidth="1"/>
    <col min="1069" max="1280" width="9.109375" style="38"/>
    <col min="1281" max="1305" width="2.33203125" style="38" customWidth="1"/>
    <col min="1306" max="1310" width="2.109375" style="38" customWidth="1"/>
    <col min="1311" max="1319" width="2.33203125" style="38" customWidth="1"/>
    <col min="1320" max="1324" width="2.109375" style="38" customWidth="1"/>
    <col min="1325" max="1536" width="9.109375" style="38"/>
    <col min="1537" max="1561" width="2.33203125" style="38" customWidth="1"/>
    <col min="1562" max="1566" width="2.109375" style="38" customWidth="1"/>
    <col min="1567" max="1575" width="2.33203125" style="38" customWidth="1"/>
    <col min="1576" max="1580" width="2.109375" style="38" customWidth="1"/>
    <col min="1581" max="1792" width="9.109375" style="38"/>
    <col min="1793" max="1817" width="2.33203125" style="38" customWidth="1"/>
    <col min="1818" max="1822" width="2.109375" style="38" customWidth="1"/>
    <col min="1823" max="1831" width="2.33203125" style="38" customWidth="1"/>
    <col min="1832" max="1836" width="2.109375" style="38" customWidth="1"/>
    <col min="1837" max="2048" width="9.109375" style="38"/>
    <col min="2049" max="2073" width="2.33203125" style="38" customWidth="1"/>
    <col min="2074" max="2078" width="2.109375" style="38" customWidth="1"/>
    <col min="2079" max="2087" width="2.33203125" style="38" customWidth="1"/>
    <col min="2088" max="2092" width="2.109375" style="38" customWidth="1"/>
    <col min="2093" max="2304" width="9.109375" style="38"/>
    <col min="2305" max="2329" width="2.33203125" style="38" customWidth="1"/>
    <col min="2330" max="2334" width="2.109375" style="38" customWidth="1"/>
    <col min="2335" max="2343" width="2.33203125" style="38" customWidth="1"/>
    <col min="2344" max="2348" width="2.109375" style="38" customWidth="1"/>
    <col min="2349" max="2560" width="9.109375" style="38"/>
    <col min="2561" max="2585" width="2.33203125" style="38" customWidth="1"/>
    <col min="2586" max="2590" width="2.109375" style="38" customWidth="1"/>
    <col min="2591" max="2599" width="2.33203125" style="38" customWidth="1"/>
    <col min="2600" max="2604" width="2.109375" style="38" customWidth="1"/>
    <col min="2605" max="2816" width="9.109375" style="38"/>
    <col min="2817" max="2841" width="2.33203125" style="38" customWidth="1"/>
    <col min="2842" max="2846" width="2.109375" style="38" customWidth="1"/>
    <col min="2847" max="2855" width="2.33203125" style="38" customWidth="1"/>
    <col min="2856" max="2860" width="2.109375" style="38" customWidth="1"/>
    <col min="2861" max="3072" width="9.109375" style="38"/>
    <col min="3073" max="3097" width="2.33203125" style="38" customWidth="1"/>
    <col min="3098" max="3102" width="2.109375" style="38" customWidth="1"/>
    <col min="3103" max="3111" width="2.33203125" style="38" customWidth="1"/>
    <col min="3112" max="3116" width="2.109375" style="38" customWidth="1"/>
    <col min="3117" max="3328" width="9.109375" style="38"/>
    <col min="3329" max="3353" width="2.33203125" style="38" customWidth="1"/>
    <col min="3354" max="3358" width="2.109375" style="38" customWidth="1"/>
    <col min="3359" max="3367" width="2.33203125" style="38" customWidth="1"/>
    <col min="3368" max="3372" width="2.109375" style="38" customWidth="1"/>
    <col min="3373" max="3584" width="9.109375" style="38"/>
    <col min="3585" max="3609" width="2.33203125" style="38" customWidth="1"/>
    <col min="3610" max="3614" width="2.109375" style="38" customWidth="1"/>
    <col min="3615" max="3623" width="2.33203125" style="38" customWidth="1"/>
    <col min="3624" max="3628" width="2.109375" style="38" customWidth="1"/>
    <col min="3629" max="3840" width="9.109375" style="38"/>
    <col min="3841" max="3865" width="2.33203125" style="38" customWidth="1"/>
    <col min="3866" max="3870" width="2.109375" style="38" customWidth="1"/>
    <col min="3871" max="3879" width="2.33203125" style="38" customWidth="1"/>
    <col min="3880" max="3884" width="2.109375" style="38" customWidth="1"/>
    <col min="3885" max="4096" width="9.109375" style="38"/>
    <col min="4097" max="4121" width="2.33203125" style="38" customWidth="1"/>
    <col min="4122" max="4126" width="2.109375" style="38" customWidth="1"/>
    <col min="4127" max="4135" width="2.33203125" style="38" customWidth="1"/>
    <col min="4136" max="4140" width="2.109375" style="38" customWidth="1"/>
    <col min="4141" max="4352" width="9.109375" style="38"/>
    <col min="4353" max="4377" width="2.33203125" style="38" customWidth="1"/>
    <col min="4378" max="4382" width="2.109375" style="38" customWidth="1"/>
    <col min="4383" max="4391" width="2.33203125" style="38" customWidth="1"/>
    <col min="4392" max="4396" width="2.109375" style="38" customWidth="1"/>
    <col min="4397" max="4608" width="9.109375" style="38"/>
    <col min="4609" max="4633" width="2.33203125" style="38" customWidth="1"/>
    <col min="4634" max="4638" width="2.109375" style="38" customWidth="1"/>
    <col min="4639" max="4647" width="2.33203125" style="38" customWidth="1"/>
    <col min="4648" max="4652" width="2.109375" style="38" customWidth="1"/>
    <col min="4653" max="4864" width="9.109375" style="38"/>
    <col min="4865" max="4889" width="2.33203125" style="38" customWidth="1"/>
    <col min="4890" max="4894" width="2.109375" style="38" customWidth="1"/>
    <col min="4895" max="4903" width="2.33203125" style="38" customWidth="1"/>
    <col min="4904" max="4908" width="2.109375" style="38" customWidth="1"/>
    <col min="4909" max="5120" width="9.109375" style="38"/>
    <col min="5121" max="5145" width="2.33203125" style="38" customWidth="1"/>
    <col min="5146" max="5150" width="2.109375" style="38" customWidth="1"/>
    <col min="5151" max="5159" width="2.33203125" style="38" customWidth="1"/>
    <col min="5160" max="5164" width="2.109375" style="38" customWidth="1"/>
    <col min="5165" max="5376" width="9.109375" style="38"/>
    <col min="5377" max="5401" width="2.33203125" style="38" customWidth="1"/>
    <col min="5402" max="5406" width="2.109375" style="38" customWidth="1"/>
    <col min="5407" max="5415" width="2.33203125" style="38" customWidth="1"/>
    <col min="5416" max="5420" width="2.109375" style="38" customWidth="1"/>
    <col min="5421" max="5632" width="9.109375" style="38"/>
    <col min="5633" max="5657" width="2.33203125" style="38" customWidth="1"/>
    <col min="5658" max="5662" width="2.109375" style="38" customWidth="1"/>
    <col min="5663" max="5671" width="2.33203125" style="38" customWidth="1"/>
    <col min="5672" max="5676" width="2.109375" style="38" customWidth="1"/>
    <col min="5677" max="5888" width="9.109375" style="38"/>
    <col min="5889" max="5913" width="2.33203125" style="38" customWidth="1"/>
    <col min="5914" max="5918" width="2.109375" style="38" customWidth="1"/>
    <col min="5919" max="5927" width="2.33203125" style="38" customWidth="1"/>
    <col min="5928" max="5932" width="2.109375" style="38" customWidth="1"/>
    <col min="5933" max="6144" width="9.109375" style="38"/>
    <col min="6145" max="6169" width="2.33203125" style="38" customWidth="1"/>
    <col min="6170" max="6174" width="2.109375" style="38" customWidth="1"/>
    <col min="6175" max="6183" width="2.33203125" style="38" customWidth="1"/>
    <col min="6184" max="6188" width="2.109375" style="38" customWidth="1"/>
    <col min="6189" max="6400" width="9.109375" style="38"/>
    <col min="6401" max="6425" width="2.33203125" style="38" customWidth="1"/>
    <col min="6426" max="6430" width="2.109375" style="38" customWidth="1"/>
    <col min="6431" max="6439" width="2.33203125" style="38" customWidth="1"/>
    <col min="6440" max="6444" width="2.109375" style="38" customWidth="1"/>
    <col min="6445" max="6656" width="9.109375" style="38"/>
    <col min="6657" max="6681" width="2.33203125" style="38" customWidth="1"/>
    <col min="6682" max="6686" width="2.109375" style="38" customWidth="1"/>
    <col min="6687" max="6695" width="2.33203125" style="38" customWidth="1"/>
    <col min="6696" max="6700" width="2.109375" style="38" customWidth="1"/>
    <col min="6701" max="6912" width="9.109375" style="38"/>
    <col min="6913" max="6937" width="2.33203125" style="38" customWidth="1"/>
    <col min="6938" max="6942" width="2.109375" style="38" customWidth="1"/>
    <col min="6943" max="6951" width="2.33203125" style="38" customWidth="1"/>
    <col min="6952" max="6956" width="2.109375" style="38" customWidth="1"/>
    <col min="6957" max="7168" width="9.109375" style="38"/>
    <col min="7169" max="7193" width="2.33203125" style="38" customWidth="1"/>
    <col min="7194" max="7198" width="2.109375" style="38" customWidth="1"/>
    <col min="7199" max="7207" width="2.33203125" style="38" customWidth="1"/>
    <col min="7208" max="7212" width="2.109375" style="38" customWidth="1"/>
    <col min="7213" max="7424" width="9.109375" style="38"/>
    <col min="7425" max="7449" width="2.33203125" style="38" customWidth="1"/>
    <col min="7450" max="7454" width="2.109375" style="38" customWidth="1"/>
    <col min="7455" max="7463" width="2.33203125" style="38" customWidth="1"/>
    <col min="7464" max="7468" width="2.109375" style="38" customWidth="1"/>
    <col min="7469" max="7680" width="9.109375" style="38"/>
    <col min="7681" max="7705" width="2.33203125" style="38" customWidth="1"/>
    <col min="7706" max="7710" width="2.109375" style="38" customWidth="1"/>
    <col min="7711" max="7719" width="2.33203125" style="38" customWidth="1"/>
    <col min="7720" max="7724" width="2.109375" style="38" customWidth="1"/>
    <col min="7725" max="7936" width="9.109375" style="38"/>
    <col min="7937" max="7961" width="2.33203125" style="38" customWidth="1"/>
    <col min="7962" max="7966" width="2.109375" style="38" customWidth="1"/>
    <col min="7967" max="7975" width="2.33203125" style="38" customWidth="1"/>
    <col min="7976" max="7980" width="2.109375" style="38" customWidth="1"/>
    <col min="7981" max="8192" width="9.109375" style="38"/>
    <col min="8193" max="8217" width="2.33203125" style="38" customWidth="1"/>
    <col min="8218" max="8222" width="2.109375" style="38" customWidth="1"/>
    <col min="8223" max="8231" width="2.33203125" style="38" customWidth="1"/>
    <col min="8232" max="8236" width="2.109375" style="38" customWidth="1"/>
    <col min="8237" max="8448" width="9.109375" style="38"/>
    <col min="8449" max="8473" width="2.33203125" style="38" customWidth="1"/>
    <col min="8474" max="8478" width="2.109375" style="38" customWidth="1"/>
    <col min="8479" max="8487" width="2.33203125" style="38" customWidth="1"/>
    <col min="8488" max="8492" width="2.109375" style="38" customWidth="1"/>
    <col min="8493" max="8704" width="9.109375" style="38"/>
    <col min="8705" max="8729" width="2.33203125" style="38" customWidth="1"/>
    <col min="8730" max="8734" width="2.109375" style="38" customWidth="1"/>
    <col min="8735" max="8743" width="2.33203125" style="38" customWidth="1"/>
    <col min="8744" max="8748" width="2.109375" style="38" customWidth="1"/>
    <col min="8749" max="8960" width="9.109375" style="38"/>
    <col min="8961" max="8985" width="2.33203125" style="38" customWidth="1"/>
    <col min="8986" max="8990" width="2.109375" style="38" customWidth="1"/>
    <col min="8991" max="8999" width="2.33203125" style="38" customWidth="1"/>
    <col min="9000" max="9004" width="2.109375" style="38" customWidth="1"/>
    <col min="9005" max="9216" width="9.109375" style="38"/>
    <col min="9217" max="9241" width="2.33203125" style="38" customWidth="1"/>
    <col min="9242" max="9246" width="2.109375" style="38" customWidth="1"/>
    <col min="9247" max="9255" width="2.33203125" style="38" customWidth="1"/>
    <col min="9256" max="9260" width="2.109375" style="38" customWidth="1"/>
    <col min="9261" max="9472" width="9.109375" style="38"/>
    <col min="9473" max="9497" width="2.33203125" style="38" customWidth="1"/>
    <col min="9498" max="9502" width="2.109375" style="38" customWidth="1"/>
    <col min="9503" max="9511" width="2.33203125" style="38" customWidth="1"/>
    <col min="9512" max="9516" width="2.109375" style="38" customWidth="1"/>
    <col min="9517" max="9728" width="9.109375" style="38"/>
    <col min="9729" max="9753" width="2.33203125" style="38" customWidth="1"/>
    <col min="9754" max="9758" width="2.109375" style="38" customWidth="1"/>
    <col min="9759" max="9767" width="2.33203125" style="38" customWidth="1"/>
    <col min="9768" max="9772" width="2.109375" style="38" customWidth="1"/>
    <col min="9773" max="9984" width="9.109375" style="38"/>
    <col min="9985" max="10009" width="2.33203125" style="38" customWidth="1"/>
    <col min="10010" max="10014" width="2.109375" style="38" customWidth="1"/>
    <col min="10015" max="10023" width="2.33203125" style="38" customWidth="1"/>
    <col min="10024" max="10028" width="2.109375" style="38" customWidth="1"/>
    <col min="10029" max="10240" width="9.109375" style="38"/>
    <col min="10241" max="10265" width="2.33203125" style="38" customWidth="1"/>
    <col min="10266" max="10270" width="2.109375" style="38" customWidth="1"/>
    <col min="10271" max="10279" width="2.33203125" style="38" customWidth="1"/>
    <col min="10280" max="10284" width="2.109375" style="38" customWidth="1"/>
    <col min="10285" max="10496" width="9.109375" style="38"/>
    <col min="10497" max="10521" width="2.33203125" style="38" customWidth="1"/>
    <col min="10522" max="10526" width="2.109375" style="38" customWidth="1"/>
    <col min="10527" max="10535" width="2.33203125" style="38" customWidth="1"/>
    <col min="10536" max="10540" width="2.109375" style="38" customWidth="1"/>
    <col min="10541" max="10752" width="9.109375" style="38"/>
    <col min="10753" max="10777" width="2.33203125" style="38" customWidth="1"/>
    <col min="10778" max="10782" width="2.109375" style="38" customWidth="1"/>
    <col min="10783" max="10791" width="2.33203125" style="38" customWidth="1"/>
    <col min="10792" max="10796" width="2.109375" style="38" customWidth="1"/>
    <col min="10797" max="11008" width="9.109375" style="38"/>
    <col min="11009" max="11033" width="2.33203125" style="38" customWidth="1"/>
    <col min="11034" max="11038" width="2.109375" style="38" customWidth="1"/>
    <col min="11039" max="11047" width="2.33203125" style="38" customWidth="1"/>
    <col min="11048" max="11052" width="2.109375" style="38" customWidth="1"/>
    <col min="11053" max="11264" width="9.109375" style="38"/>
    <col min="11265" max="11289" width="2.33203125" style="38" customWidth="1"/>
    <col min="11290" max="11294" width="2.109375" style="38" customWidth="1"/>
    <col min="11295" max="11303" width="2.33203125" style="38" customWidth="1"/>
    <col min="11304" max="11308" width="2.109375" style="38" customWidth="1"/>
    <col min="11309" max="11520" width="9.109375" style="38"/>
    <col min="11521" max="11545" width="2.33203125" style="38" customWidth="1"/>
    <col min="11546" max="11550" width="2.109375" style="38" customWidth="1"/>
    <col min="11551" max="11559" width="2.33203125" style="38" customWidth="1"/>
    <col min="11560" max="11564" width="2.109375" style="38" customWidth="1"/>
    <col min="11565" max="11776" width="9.109375" style="38"/>
    <col min="11777" max="11801" width="2.33203125" style="38" customWidth="1"/>
    <col min="11802" max="11806" width="2.109375" style="38" customWidth="1"/>
    <col min="11807" max="11815" width="2.33203125" style="38" customWidth="1"/>
    <col min="11816" max="11820" width="2.109375" style="38" customWidth="1"/>
    <col min="11821" max="12032" width="9.109375" style="38"/>
    <col min="12033" max="12057" width="2.33203125" style="38" customWidth="1"/>
    <col min="12058" max="12062" width="2.109375" style="38" customWidth="1"/>
    <col min="12063" max="12071" width="2.33203125" style="38" customWidth="1"/>
    <col min="12072" max="12076" width="2.109375" style="38" customWidth="1"/>
    <col min="12077" max="12288" width="9.109375" style="38"/>
    <col min="12289" max="12313" width="2.33203125" style="38" customWidth="1"/>
    <col min="12314" max="12318" width="2.109375" style="38" customWidth="1"/>
    <col min="12319" max="12327" width="2.33203125" style="38" customWidth="1"/>
    <col min="12328" max="12332" width="2.109375" style="38" customWidth="1"/>
    <col min="12333" max="12544" width="9.109375" style="38"/>
    <col min="12545" max="12569" width="2.33203125" style="38" customWidth="1"/>
    <col min="12570" max="12574" width="2.109375" style="38" customWidth="1"/>
    <col min="12575" max="12583" width="2.33203125" style="38" customWidth="1"/>
    <col min="12584" max="12588" width="2.109375" style="38" customWidth="1"/>
    <col min="12589" max="12800" width="9.109375" style="38"/>
    <col min="12801" max="12825" width="2.33203125" style="38" customWidth="1"/>
    <col min="12826" max="12830" width="2.109375" style="38" customWidth="1"/>
    <col min="12831" max="12839" width="2.33203125" style="38" customWidth="1"/>
    <col min="12840" max="12844" width="2.109375" style="38" customWidth="1"/>
    <col min="12845" max="13056" width="9.109375" style="38"/>
    <col min="13057" max="13081" width="2.33203125" style="38" customWidth="1"/>
    <col min="13082" max="13086" width="2.109375" style="38" customWidth="1"/>
    <col min="13087" max="13095" width="2.33203125" style="38" customWidth="1"/>
    <col min="13096" max="13100" width="2.109375" style="38" customWidth="1"/>
    <col min="13101" max="13312" width="9.109375" style="38"/>
    <col min="13313" max="13337" width="2.33203125" style="38" customWidth="1"/>
    <col min="13338" max="13342" width="2.109375" style="38" customWidth="1"/>
    <col min="13343" max="13351" width="2.33203125" style="38" customWidth="1"/>
    <col min="13352" max="13356" width="2.109375" style="38" customWidth="1"/>
    <col min="13357" max="13568" width="9.109375" style="38"/>
    <col min="13569" max="13593" width="2.33203125" style="38" customWidth="1"/>
    <col min="13594" max="13598" width="2.109375" style="38" customWidth="1"/>
    <col min="13599" max="13607" width="2.33203125" style="38" customWidth="1"/>
    <col min="13608" max="13612" width="2.109375" style="38" customWidth="1"/>
    <col min="13613" max="13824" width="9.109375" style="38"/>
    <col min="13825" max="13849" width="2.33203125" style="38" customWidth="1"/>
    <col min="13850" max="13854" width="2.109375" style="38" customWidth="1"/>
    <col min="13855" max="13863" width="2.33203125" style="38" customWidth="1"/>
    <col min="13864" max="13868" width="2.109375" style="38" customWidth="1"/>
    <col min="13869" max="14080" width="9.109375" style="38"/>
    <col min="14081" max="14105" width="2.33203125" style="38" customWidth="1"/>
    <col min="14106" max="14110" width="2.109375" style="38" customWidth="1"/>
    <col min="14111" max="14119" width="2.33203125" style="38" customWidth="1"/>
    <col min="14120" max="14124" width="2.109375" style="38" customWidth="1"/>
    <col min="14125" max="14336" width="9.109375" style="38"/>
    <col min="14337" max="14361" width="2.33203125" style="38" customWidth="1"/>
    <col min="14362" max="14366" width="2.109375" style="38" customWidth="1"/>
    <col min="14367" max="14375" width="2.33203125" style="38" customWidth="1"/>
    <col min="14376" max="14380" width="2.109375" style="38" customWidth="1"/>
    <col min="14381" max="14592" width="9.109375" style="38"/>
    <col min="14593" max="14617" width="2.33203125" style="38" customWidth="1"/>
    <col min="14618" max="14622" width="2.109375" style="38" customWidth="1"/>
    <col min="14623" max="14631" width="2.33203125" style="38" customWidth="1"/>
    <col min="14632" max="14636" width="2.109375" style="38" customWidth="1"/>
    <col min="14637" max="14848" width="9.109375" style="38"/>
    <col min="14849" max="14873" width="2.33203125" style="38" customWidth="1"/>
    <col min="14874" max="14878" width="2.109375" style="38" customWidth="1"/>
    <col min="14879" max="14887" width="2.33203125" style="38" customWidth="1"/>
    <col min="14888" max="14892" width="2.109375" style="38" customWidth="1"/>
    <col min="14893" max="15104" width="9.109375" style="38"/>
    <col min="15105" max="15129" width="2.33203125" style="38" customWidth="1"/>
    <col min="15130" max="15134" width="2.109375" style="38" customWidth="1"/>
    <col min="15135" max="15143" width="2.33203125" style="38" customWidth="1"/>
    <col min="15144" max="15148" width="2.109375" style="38" customWidth="1"/>
    <col min="15149" max="15360" width="9.109375" style="38"/>
    <col min="15361" max="15385" width="2.33203125" style="38" customWidth="1"/>
    <col min="15386" max="15390" width="2.109375" style="38" customWidth="1"/>
    <col min="15391" max="15399" width="2.33203125" style="38" customWidth="1"/>
    <col min="15400" max="15404" width="2.109375" style="38" customWidth="1"/>
    <col min="15405" max="15616" width="9.109375" style="38"/>
    <col min="15617" max="15641" width="2.33203125" style="38" customWidth="1"/>
    <col min="15642" max="15646" width="2.109375" style="38" customWidth="1"/>
    <col min="15647" max="15655" width="2.33203125" style="38" customWidth="1"/>
    <col min="15656" max="15660" width="2.109375" style="38" customWidth="1"/>
    <col min="15661" max="15872" width="9.109375" style="38"/>
    <col min="15873" max="15897" width="2.33203125" style="38" customWidth="1"/>
    <col min="15898" max="15902" width="2.109375" style="38" customWidth="1"/>
    <col min="15903" max="15911" width="2.33203125" style="38" customWidth="1"/>
    <col min="15912" max="15916" width="2.109375" style="38" customWidth="1"/>
    <col min="15917" max="16128" width="9.109375" style="38"/>
    <col min="16129" max="16153" width="2.33203125" style="38" customWidth="1"/>
    <col min="16154" max="16158" width="2.109375" style="38" customWidth="1"/>
    <col min="16159" max="16167" width="2.33203125" style="38" customWidth="1"/>
    <col min="16168" max="16172" width="2.109375" style="38" customWidth="1"/>
    <col min="16173" max="16384" width="9.109375" style="38"/>
  </cols>
  <sheetData>
    <row r="1" spans="1:45" ht="25.2" x14ac:dyDescent="0.3">
      <c r="A1" s="423" t="s">
        <v>118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5"/>
    </row>
    <row r="3" spans="1:45" x14ac:dyDescent="0.3">
      <c r="A3" s="426" t="s">
        <v>119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26"/>
      <c r="AN3" s="426"/>
      <c r="AO3" s="426"/>
      <c r="AP3" s="426"/>
      <c r="AQ3" s="426"/>
      <c r="AR3" s="426"/>
      <c r="AS3" s="426"/>
    </row>
    <row r="4" spans="1:45" x14ac:dyDescent="0.3">
      <c r="A4" s="427" t="s">
        <v>120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7"/>
      <c r="AQ4" s="427"/>
      <c r="AR4" s="427"/>
      <c r="AS4" s="427"/>
    </row>
    <row r="5" spans="1:45" x14ac:dyDescent="0.3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7"/>
      <c r="AQ5" s="427"/>
      <c r="AR5" s="427"/>
      <c r="AS5" s="427"/>
    </row>
    <row r="6" spans="1:45" x14ac:dyDescent="0.3">
      <c r="A6" s="427" t="s">
        <v>121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</row>
    <row r="7" spans="1:45" x14ac:dyDescent="0.3">
      <c r="A7" s="427" t="s">
        <v>137</v>
      </c>
      <c r="B7" s="427"/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</row>
    <row r="8" spans="1:45" x14ac:dyDescent="0.3">
      <c r="A8" s="427" t="s">
        <v>159</v>
      </c>
      <c r="B8" s="427"/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27"/>
    </row>
    <row r="9" spans="1:45" x14ac:dyDescent="0.3">
      <c r="A9" s="427" t="s">
        <v>158</v>
      </c>
      <c r="B9" s="427"/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7"/>
      <c r="AO9" s="427"/>
      <c r="AP9" s="427"/>
      <c r="AQ9" s="427"/>
      <c r="AR9" s="427"/>
      <c r="AS9" s="427"/>
    </row>
    <row r="10" spans="1:45" x14ac:dyDescent="0.3">
      <c r="A10" s="427" t="s">
        <v>160</v>
      </c>
      <c r="B10" s="427"/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27"/>
      <c r="AC10" s="427"/>
      <c r="AD10" s="427"/>
      <c r="AE10" s="427"/>
      <c r="AF10" s="427"/>
      <c r="AG10" s="427"/>
      <c r="AH10" s="427"/>
      <c r="AI10" s="427"/>
      <c r="AJ10" s="427"/>
      <c r="AK10" s="427"/>
      <c r="AL10" s="427"/>
      <c r="AM10" s="427"/>
      <c r="AN10" s="427"/>
      <c r="AO10" s="427"/>
      <c r="AP10" s="427"/>
      <c r="AQ10" s="427"/>
      <c r="AR10" s="427"/>
      <c r="AS10" s="427"/>
    </row>
    <row r="11" spans="1:45" x14ac:dyDescent="0.3">
      <c r="A11" s="427"/>
      <c r="B11" s="427"/>
      <c r="C11" s="427"/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7"/>
      <c r="AN11" s="427"/>
      <c r="AO11" s="427"/>
      <c r="AP11" s="427"/>
      <c r="AQ11" s="427"/>
      <c r="AR11" s="427"/>
      <c r="AS11" s="427"/>
    </row>
    <row r="12" spans="1:45" x14ac:dyDescent="0.3">
      <c r="A12" s="427" t="s">
        <v>122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7"/>
      <c r="R12" s="427"/>
      <c r="S12" s="427"/>
      <c r="T12" s="427"/>
      <c r="U12" s="427"/>
      <c r="V12" s="427"/>
      <c r="W12" s="427"/>
      <c r="X12" s="427"/>
      <c r="Y12" s="427"/>
      <c r="Z12" s="427"/>
      <c r="AA12" s="427"/>
      <c r="AB12" s="427"/>
      <c r="AC12" s="427"/>
      <c r="AD12" s="427"/>
      <c r="AE12" s="427"/>
      <c r="AF12" s="427"/>
      <c r="AG12" s="427"/>
      <c r="AH12" s="427"/>
      <c r="AI12" s="427"/>
      <c r="AJ12" s="427"/>
      <c r="AK12" s="427"/>
      <c r="AL12" s="427"/>
      <c r="AM12" s="427"/>
      <c r="AN12" s="427"/>
      <c r="AO12" s="427"/>
      <c r="AP12" s="427"/>
      <c r="AQ12" s="427"/>
      <c r="AR12" s="427"/>
      <c r="AS12" s="427"/>
    </row>
    <row r="13" spans="1:45" x14ac:dyDescent="0.3">
      <c r="A13" s="427"/>
      <c r="B13" s="427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  <c r="AG13" s="427"/>
      <c r="AH13" s="427"/>
      <c r="AI13" s="427"/>
      <c r="AJ13" s="427"/>
      <c r="AK13" s="427"/>
      <c r="AL13" s="427"/>
      <c r="AM13" s="427"/>
      <c r="AN13" s="427"/>
      <c r="AO13" s="427"/>
      <c r="AP13" s="427"/>
      <c r="AQ13" s="427"/>
      <c r="AR13" s="427"/>
      <c r="AS13" s="427"/>
    </row>
    <row r="14" spans="1:45" x14ac:dyDescent="0.3">
      <c r="A14" s="427" t="s">
        <v>143</v>
      </c>
      <c r="B14" s="427"/>
      <c r="C14" s="427"/>
      <c r="D14" s="427"/>
      <c r="E14" s="427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7"/>
      <c r="AC14" s="427"/>
      <c r="AD14" s="427"/>
      <c r="AE14" s="427"/>
      <c r="AF14" s="427"/>
      <c r="AG14" s="427"/>
      <c r="AH14" s="427"/>
      <c r="AI14" s="427"/>
      <c r="AJ14" s="427"/>
      <c r="AK14" s="427"/>
      <c r="AL14" s="427"/>
      <c r="AM14" s="427"/>
      <c r="AN14" s="427"/>
      <c r="AO14" s="427"/>
      <c r="AP14" s="427"/>
      <c r="AQ14" s="427"/>
      <c r="AR14" s="427"/>
      <c r="AS14" s="427"/>
    </row>
    <row r="15" spans="1:45" x14ac:dyDescent="0.3">
      <c r="A15" s="427"/>
      <c r="B15" s="427"/>
      <c r="C15" s="427"/>
      <c r="D15" s="427"/>
      <c r="E15" s="427"/>
      <c r="F15" s="427"/>
      <c r="G15" s="427"/>
      <c r="H15" s="427"/>
      <c r="I15" s="427"/>
      <c r="J15" s="427"/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427"/>
      <c r="AM15" s="427"/>
      <c r="AN15" s="427"/>
      <c r="AO15" s="427"/>
      <c r="AP15" s="427"/>
      <c r="AQ15" s="427"/>
      <c r="AR15" s="427"/>
      <c r="AS15" s="427"/>
    </row>
    <row r="16" spans="1:45" x14ac:dyDescent="0.3">
      <c r="A16" s="427"/>
      <c r="B16" s="427"/>
      <c r="C16" s="427"/>
      <c r="D16" s="427"/>
      <c r="E16" s="427"/>
      <c r="F16" s="427"/>
      <c r="G16" s="427"/>
      <c r="H16" s="427"/>
      <c r="I16" s="427"/>
      <c r="J16" s="427"/>
      <c r="K16" s="427"/>
      <c r="L16" s="427"/>
      <c r="M16" s="427"/>
      <c r="N16" s="427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7"/>
      <c r="AB16" s="427"/>
      <c r="AC16" s="427"/>
      <c r="AD16" s="427"/>
      <c r="AE16" s="427"/>
      <c r="AF16" s="427"/>
      <c r="AG16" s="427"/>
      <c r="AH16" s="427"/>
      <c r="AI16" s="427"/>
      <c r="AJ16" s="427"/>
      <c r="AK16" s="427"/>
      <c r="AL16" s="427"/>
      <c r="AM16" s="427"/>
      <c r="AN16" s="427"/>
      <c r="AO16" s="427"/>
      <c r="AP16" s="427"/>
      <c r="AQ16" s="427"/>
      <c r="AR16" s="427"/>
      <c r="AS16" s="427"/>
    </row>
    <row r="17" spans="1:256" x14ac:dyDescent="0.3">
      <c r="A17" s="427"/>
      <c r="B17" s="427"/>
      <c r="C17" s="427"/>
      <c r="D17" s="427"/>
      <c r="E17" s="427"/>
      <c r="F17" s="427"/>
      <c r="G17" s="427"/>
      <c r="H17" s="427"/>
      <c r="I17" s="427"/>
      <c r="J17" s="427"/>
      <c r="K17" s="427"/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7"/>
      <c r="W17" s="427"/>
      <c r="X17" s="427"/>
      <c r="Y17" s="427"/>
      <c r="Z17" s="427"/>
      <c r="AA17" s="427"/>
      <c r="AB17" s="427"/>
      <c r="AC17" s="427"/>
      <c r="AD17" s="427"/>
      <c r="AE17" s="427"/>
      <c r="AF17" s="427"/>
      <c r="AG17" s="427"/>
      <c r="AH17" s="427"/>
      <c r="AI17" s="427"/>
      <c r="AJ17" s="427"/>
      <c r="AK17" s="427"/>
      <c r="AL17" s="427"/>
      <c r="AM17" s="427"/>
      <c r="AN17" s="427"/>
      <c r="AO17" s="427"/>
      <c r="AP17" s="427"/>
      <c r="AQ17" s="427"/>
      <c r="AR17" s="427"/>
      <c r="AS17" s="427"/>
    </row>
    <row r="18" spans="1:256" ht="20.399999999999999" x14ac:dyDescent="0.3">
      <c r="A18" s="37" t="s">
        <v>40</v>
      </c>
      <c r="AE18" s="40"/>
      <c r="AF18" s="40"/>
      <c r="AG18" s="40"/>
      <c r="AH18" s="40"/>
      <c r="AI18" s="40"/>
      <c r="AO18" s="41">
        <v>0</v>
      </c>
      <c r="AP18" s="42"/>
      <c r="AQ18" s="42"/>
      <c r="AR18" s="41">
        <v>0</v>
      </c>
      <c r="AV18" s="43">
        <v>1.3888888888888888E-2</v>
      </c>
    </row>
    <row r="19" spans="1:256" x14ac:dyDescent="0.3">
      <c r="P19" s="44" t="s">
        <v>22</v>
      </c>
      <c r="Q19" s="45"/>
      <c r="R19" s="45"/>
      <c r="S19" s="45"/>
      <c r="T19" s="45"/>
      <c r="U19" s="45"/>
      <c r="V19" s="45"/>
      <c r="W19" s="45" t="s">
        <v>3</v>
      </c>
      <c r="X19" s="45"/>
      <c r="Y19" s="46" t="s">
        <v>41</v>
      </c>
      <c r="Z19" s="45"/>
      <c r="AA19" s="45"/>
      <c r="AB19" s="45"/>
      <c r="AC19" s="45"/>
      <c r="AD19" s="47"/>
      <c r="AE19" s="48"/>
      <c r="AF19" s="48"/>
      <c r="AG19" s="49"/>
      <c r="AH19" s="40"/>
      <c r="AI19" s="40"/>
      <c r="AO19" s="40"/>
      <c r="AR19" s="40"/>
    </row>
    <row r="20" spans="1:256" ht="14.4" thickBot="1" x14ac:dyDescent="0.35">
      <c r="A20" s="38" t="s">
        <v>42</v>
      </c>
      <c r="E20" s="38" t="s">
        <v>76</v>
      </c>
      <c r="P20" s="50" t="s">
        <v>18</v>
      </c>
      <c r="Q20" s="51" t="s">
        <v>43</v>
      </c>
      <c r="W20" s="38" t="s">
        <v>0</v>
      </c>
      <c r="Y20" s="51" t="s">
        <v>44</v>
      </c>
      <c r="AE20" s="40"/>
      <c r="AF20" s="40"/>
      <c r="AG20" s="52"/>
      <c r="AH20" s="40"/>
      <c r="AI20" s="40"/>
      <c r="AO20" s="40"/>
      <c r="AR20" s="40"/>
    </row>
    <row r="21" spans="1:256" ht="14.4" x14ac:dyDescent="0.3">
      <c r="A21" s="38" t="s">
        <v>19</v>
      </c>
      <c r="D21" s="415">
        <f>Wedstrijden!I2</f>
        <v>45732</v>
      </c>
      <c r="E21" s="416"/>
      <c r="F21" s="416"/>
      <c r="G21" s="416"/>
      <c r="H21" s="416"/>
      <c r="I21" s="416"/>
      <c r="J21" s="416"/>
      <c r="K21" s="416"/>
      <c r="L21" s="416"/>
      <c r="M21" s="416"/>
      <c r="N21" s="417"/>
      <c r="P21" s="50" t="s">
        <v>17</v>
      </c>
      <c r="Q21" s="51" t="s">
        <v>45</v>
      </c>
      <c r="W21" s="38" t="s">
        <v>9</v>
      </c>
      <c r="Y21" s="51" t="s">
        <v>46</v>
      </c>
      <c r="AE21" s="40"/>
      <c r="AF21" s="40"/>
      <c r="AG21" s="52"/>
      <c r="AH21" s="40"/>
      <c r="AI21" s="40"/>
      <c r="AO21" s="40"/>
      <c r="AR21" s="40"/>
      <c r="BF21" s="406" t="s">
        <v>102</v>
      </c>
      <c r="BG21" s="407"/>
      <c r="BH21" s="407"/>
      <c r="BI21" s="408"/>
    </row>
    <row r="22" spans="1:256" x14ac:dyDescent="0.3">
      <c r="A22" s="38" t="s">
        <v>20</v>
      </c>
      <c r="D22" s="418">
        <v>16</v>
      </c>
      <c r="E22" s="418"/>
      <c r="F22" s="53"/>
      <c r="G22" s="419">
        <f>VLOOKUP(D22,Wedstrijden!A6:B57,2,0)</f>
        <v>0.67361111111111116</v>
      </c>
      <c r="H22" s="419"/>
      <c r="I22" s="419"/>
      <c r="J22" s="54" t="s">
        <v>16</v>
      </c>
      <c r="K22" s="419">
        <f>G22+AV18</f>
        <v>0.6875</v>
      </c>
      <c r="L22" s="419"/>
      <c r="M22" s="419"/>
      <c r="N22" s="53"/>
      <c r="P22" s="50" t="s">
        <v>10</v>
      </c>
      <c r="Q22" s="51" t="s">
        <v>47</v>
      </c>
      <c r="W22" s="38" t="s">
        <v>12</v>
      </c>
      <c r="Y22" s="51" t="s">
        <v>48</v>
      </c>
      <c r="AE22" s="40"/>
      <c r="AF22" s="40"/>
      <c r="AG22" s="52"/>
      <c r="AH22" s="40"/>
      <c r="AI22" s="40"/>
      <c r="AO22" s="40"/>
      <c r="AR22" s="40"/>
      <c r="BF22" s="409"/>
      <c r="BG22" s="410"/>
      <c r="BH22" s="410"/>
      <c r="BI22" s="411"/>
    </row>
    <row r="23" spans="1:256" ht="14.4" thickBot="1" x14ac:dyDescent="0.2">
      <c r="A23" s="38" t="s">
        <v>21</v>
      </c>
      <c r="D23" s="55" t="str">
        <f>Wedstrijden!K2</f>
        <v>Den Bosch</v>
      </c>
      <c r="P23" s="50" t="s">
        <v>11</v>
      </c>
      <c r="Q23" s="51" t="s">
        <v>49</v>
      </c>
      <c r="W23" s="38" t="s">
        <v>13</v>
      </c>
      <c r="Y23" s="51" t="s">
        <v>50</v>
      </c>
      <c r="AE23" s="40"/>
      <c r="AF23" s="40"/>
      <c r="AG23" s="52"/>
      <c r="AH23" s="354" t="s">
        <v>51</v>
      </c>
      <c r="AI23" s="355"/>
      <c r="AJ23" s="355"/>
      <c r="AK23" s="355"/>
      <c r="AL23" s="355"/>
      <c r="AM23" s="355"/>
      <c r="AN23" s="355"/>
      <c r="AO23" s="355"/>
      <c r="AP23" s="355"/>
      <c r="AQ23" s="355"/>
      <c r="AR23" s="355"/>
      <c r="BF23" s="412"/>
      <c r="BG23" s="413"/>
      <c r="BH23" s="413"/>
      <c r="BI23" s="414"/>
    </row>
    <row r="24" spans="1:256" x14ac:dyDescent="0.2">
      <c r="A24" s="56" t="s">
        <v>52</v>
      </c>
      <c r="B24" s="57"/>
      <c r="C24" s="57"/>
      <c r="D24" s="57"/>
      <c r="E24" s="58" t="s">
        <v>53</v>
      </c>
      <c r="F24" s="57"/>
      <c r="G24" s="59" t="str">
        <f>VLOOKUP(D22,Wedstrijden!A6:L57,5,0)</f>
        <v>SVG Den Bosch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 t="s">
        <v>54</v>
      </c>
      <c r="X24" s="57"/>
      <c r="Y24" s="57"/>
      <c r="Z24" s="58" t="s">
        <v>55</v>
      </c>
      <c r="AA24" s="58"/>
      <c r="AB24" s="57"/>
      <c r="AC24" s="59" t="str">
        <f>VLOOKUP(D22,Wedstrijden!A6:L57,9,0)</f>
        <v>De Tubanten 1</v>
      </c>
      <c r="AD24" s="60"/>
      <c r="AE24" s="61"/>
      <c r="AF24" s="61"/>
      <c r="AG24" s="61"/>
      <c r="AH24" s="61"/>
      <c r="AI24" s="61"/>
      <c r="AJ24" s="57"/>
      <c r="AK24" s="57"/>
      <c r="AL24" s="57"/>
      <c r="AM24" s="57"/>
      <c r="AN24" s="57"/>
      <c r="AO24" s="61"/>
      <c r="AP24" s="57"/>
      <c r="AQ24" s="57"/>
      <c r="AR24" s="62"/>
    </row>
    <row r="25" spans="1:256" x14ac:dyDescent="0.3">
      <c r="A25" s="63" t="s">
        <v>56</v>
      </c>
      <c r="B25" s="64"/>
      <c r="C25" s="64"/>
      <c r="D25" s="64"/>
      <c r="E25" s="64"/>
      <c r="F25" s="64"/>
      <c r="G25" s="64"/>
      <c r="H25" s="64"/>
      <c r="I25" s="64"/>
      <c r="J25" s="65" t="str">
        <f>VLOOKUP(D22,Wedstrijden!A6:P343,13,0)</f>
        <v>Martijn</v>
      </c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 t="s">
        <v>57</v>
      </c>
      <c r="X25" s="64"/>
      <c r="Y25" s="64"/>
      <c r="Z25" s="66" t="str">
        <f>VLOOKUP(D22,Wedstrijden!A6:N170,14,0)</f>
        <v>Dolf</v>
      </c>
      <c r="AA25" s="64"/>
      <c r="AB25" s="64"/>
      <c r="AC25" s="64"/>
      <c r="AD25" s="67"/>
      <c r="AE25" s="68"/>
      <c r="AF25" s="68"/>
      <c r="AG25" s="68"/>
      <c r="AH25" s="68"/>
      <c r="AI25" s="68"/>
      <c r="AJ25" s="69" t="s">
        <v>17</v>
      </c>
      <c r="AK25" s="64"/>
      <c r="AL25" s="64"/>
      <c r="AM25" s="64"/>
      <c r="AN25" s="64"/>
      <c r="AO25" s="68"/>
      <c r="AP25" s="64"/>
      <c r="AQ25" s="64"/>
      <c r="AR25" s="70"/>
    </row>
    <row r="26" spans="1:256" ht="14.4" thickBot="1" x14ac:dyDescent="0.35">
      <c r="A26" s="71" t="s">
        <v>58</v>
      </c>
      <c r="B26" s="72"/>
      <c r="C26" s="72"/>
      <c r="D26" s="72"/>
      <c r="E26" s="72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4" t="s">
        <v>59</v>
      </c>
      <c r="X26" s="72"/>
      <c r="Y26" s="72"/>
      <c r="Z26" s="72"/>
      <c r="AA26" s="72"/>
      <c r="AB26" s="73"/>
      <c r="AC26" s="73"/>
      <c r="AD26" s="75"/>
      <c r="AE26" s="76"/>
      <c r="AF26" s="76"/>
      <c r="AG26" s="76"/>
      <c r="AH26" s="76"/>
      <c r="AI26" s="76"/>
      <c r="AJ26" s="73"/>
      <c r="AK26" s="73"/>
      <c r="AL26" s="73"/>
      <c r="AM26" s="73"/>
      <c r="AN26" s="73"/>
      <c r="AO26" s="76"/>
      <c r="AP26" s="73"/>
      <c r="AQ26" s="73"/>
      <c r="AR26" s="77"/>
    </row>
    <row r="27" spans="1:256" ht="15" x14ac:dyDescent="0.3">
      <c r="A27" s="78" t="s">
        <v>60</v>
      </c>
      <c r="B27" s="79"/>
      <c r="C27" s="79"/>
      <c r="D27" s="79"/>
      <c r="E27" s="79"/>
      <c r="F27" s="356" t="str">
        <f>+G24</f>
        <v>SVG Den Bosch</v>
      </c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7"/>
      <c r="Z27" s="362" t="s">
        <v>8</v>
      </c>
      <c r="AA27" s="363"/>
      <c r="AB27" s="363"/>
      <c r="AC27" s="363"/>
      <c r="AD27" s="364"/>
      <c r="AE27" s="80"/>
      <c r="AF27" s="80"/>
      <c r="AG27" s="80"/>
      <c r="AH27" s="80" t="s">
        <v>61</v>
      </c>
      <c r="AI27" s="80" t="s">
        <v>61</v>
      </c>
      <c r="AJ27" s="371" t="s">
        <v>14</v>
      </c>
      <c r="AK27" s="372"/>
      <c r="AL27" s="377" t="s">
        <v>62</v>
      </c>
      <c r="AM27" s="378"/>
      <c r="AN27" s="383" t="s">
        <v>15</v>
      </c>
      <c r="AO27" s="384"/>
      <c r="AP27" s="384"/>
      <c r="AQ27" s="384"/>
      <c r="AR27" s="385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2" t="s">
        <v>136</v>
      </c>
      <c r="BL27" s="82" t="str">
        <f>CONCATENATE($BL$29&amp;BK27&amp;"x")</f>
        <v>swwx</v>
      </c>
      <c r="BM27" s="82" t="str">
        <f>CONCATENATE($BM$29&amp;BK27&amp;"x")</f>
        <v>dwx</v>
      </c>
      <c r="BN27" s="82" t="str">
        <f>CONCATENATE($BN$29&amp;BK27&amp;"x")</f>
        <v>pwx</v>
      </c>
      <c r="BO27" s="82" t="str">
        <f>CONCATENATE($BO$29&amp;BK27&amp;"x")</f>
        <v>umvwx</v>
      </c>
      <c r="BP27" s="82" t="str">
        <f>CONCATENATE($BP$29&amp;BK27&amp;"x")</f>
        <v>uzvwx</v>
      </c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  <c r="IQ27" s="81"/>
      <c r="IR27" s="81"/>
      <c r="IS27" s="81"/>
      <c r="IT27" s="81"/>
      <c r="IU27" s="81"/>
      <c r="IV27" s="81"/>
    </row>
    <row r="28" spans="1:256" x14ac:dyDescent="0.3">
      <c r="A28" s="393" t="s">
        <v>7</v>
      </c>
      <c r="B28" s="394"/>
      <c r="C28" s="394"/>
      <c r="D28" s="394"/>
      <c r="E28" s="81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9"/>
      <c r="Z28" s="365"/>
      <c r="AA28" s="366"/>
      <c r="AB28" s="366"/>
      <c r="AC28" s="366"/>
      <c r="AD28" s="367"/>
      <c r="AE28" s="83" t="s">
        <v>63</v>
      </c>
      <c r="AF28" s="83"/>
      <c r="AG28" s="83"/>
      <c r="AH28" s="83" t="s">
        <v>64</v>
      </c>
      <c r="AI28" s="83" t="s">
        <v>65</v>
      </c>
      <c r="AJ28" s="373"/>
      <c r="AK28" s="374"/>
      <c r="AL28" s="379"/>
      <c r="AM28" s="380"/>
      <c r="AN28" s="386"/>
      <c r="AO28" s="387"/>
      <c r="AP28" s="387"/>
      <c r="AQ28" s="387"/>
      <c r="AR28" s="388"/>
      <c r="AS28" s="81"/>
      <c r="AT28" s="81"/>
      <c r="AU28" s="81" t="s">
        <v>17</v>
      </c>
      <c r="AV28" s="81" t="s">
        <v>18</v>
      </c>
      <c r="AW28" s="81" t="s">
        <v>77</v>
      </c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2" t="s">
        <v>142</v>
      </c>
      <c r="BL28" s="82" t="str">
        <f>CONCATENATE($BL$29&amp;BK28&amp;"x")</f>
        <v>swbx</v>
      </c>
      <c r="BM28" s="82" t="str">
        <f>CONCATENATE($BM$29&amp;BK28&amp;"x")</f>
        <v>dbx</v>
      </c>
      <c r="BN28" s="82" t="str">
        <f>CONCATENATE($BN$29&amp;BK28&amp;"x")</f>
        <v>pbx</v>
      </c>
      <c r="BO28" s="82" t="str">
        <f>CONCATENATE($BO$29&amp;BK28&amp;"x")</f>
        <v>umvbx</v>
      </c>
      <c r="BP28" s="82" t="str">
        <f>CONCATENATE($BP$29&amp;BK28&amp;"x")</f>
        <v>uzvbx</v>
      </c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81"/>
      <c r="IS28" s="81"/>
      <c r="IT28" s="81"/>
      <c r="IU28" s="81"/>
      <c r="IV28" s="81"/>
    </row>
    <row r="29" spans="1:256" ht="18.600000000000001" thickBot="1" x14ac:dyDescent="0.4">
      <c r="A29" s="395"/>
      <c r="B29" s="396"/>
      <c r="C29" s="396"/>
      <c r="D29" s="394"/>
      <c r="E29" s="81"/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1"/>
      <c r="Z29" s="368"/>
      <c r="AA29" s="369"/>
      <c r="AB29" s="369"/>
      <c r="AC29" s="369"/>
      <c r="AD29" s="370"/>
      <c r="AE29" s="84" t="s">
        <v>17</v>
      </c>
      <c r="AF29" s="84" t="s">
        <v>10</v>
      </c>
      <c r="AG29" s="84" t="s">
        <v>11</v>
      </c>
      <c r="AH29" s="84" t="s">
        <v>66</v>
      </c>
      <c r="AI29" s="84" t="s">
        <v>66</v>
      </c>
      <c r="AJ29" s="375"/>
      <c r="AK29" s="376"/>
      <c r="AL29" s="381"/>
      <c r="AM29" s="382"/>
      <c r="AN29" s="389" t="s">
        <v>17</v>
      </c>
      <c r="AO29" s="369"/>
      <c r="AP29" s="85"/>
      <c r="AQ29" s="369" t="s">
        <v>18</v>
      </c>
      <c r="AR29" s="390"/>
      <c r="AS29" s="81"/>
      <c r="AT29" s="81"/>
      <c r="AU29" s="81" t="s">
        <v>78</v>
      </c>
      <c r="AV29" s="81" t="s">
        <v>79</v>
      </c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 t="s">
        <v>138</v>
      </c>
      <c r="BM29" s="81" t="s">
        <v>139</v>
      </c>
      <c r="BN29" s="81" t="s">
        <v>79</v>
      </c>
      <c r="BO29" s="81" t="s">
        <v>140</v>
      </c>
      <c r="BP29" s="81" t="s">
        <v>141</v>
      </c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  <c r="IQ29" s="81"/>
      <c r="IR29" s="81"/>
      <c r="IS29" s="81"/>
      <c r="IT29" s="81"/>
      <c r="IU29" s="81"/>
      <c r="IV29" s="81"/>
    </row>
    <row r="30" spans="1:256" ht="15.6" x14ac:dyDescent="0.3">
      <c r="A30" s="86" t="s">
        <v>0</v>
      </c>
      <c r="B30" s="87" t="s">
        <v>1</v>
      </c>
      <c r="C30" s="88"/>
      <c r="D30" s="89"/>
      <c r="E30" s="88" t="s">
        <v>2</v>
      </c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90"/>
      <c r="V30" s="91" t="s">
        <v>3</v>
      </c>
      <c r="W30" s="91" t="s">
        <v>4</v>
      </c>
      <c r="X30" s="91" t="s">
        <v>5</v>
      </c>
      <c r="Y30" s="92" t="s">
        <v>6</v>
      </c>
      <c r="Z30" s="93"/>
      <c r="AA30" s="94">
        <v>0</v>
      </c>
      <c r="AB30" s="95" t="s">
        <v>16</v>
      </c>
      <c r="AC30" s="94">
        <v>2</v>
      </c>
      <c r="AD30" s="96">
        <v>5</v>
      </c>
      <c r="AE30" s="97"/>
      <c r="AF30" s="97"/>
      <c r="AG30" s="98" t="s">
        <v>77</v>
      </c>
      <c r="AH30" s="99"/>
      <c r="AI30" s="99"/>
      <c r="AJ30" s="391" t="s">
        <v>136</v>
      </c>
      <c r="AK30" s="392"/>
      <c r="AL30" s="401">
        <v>3</v>
      </c>
      <c r="AM30" s="402"/>
      <c r="AN30" s="100"/>
      <c r="AO30" s="101">
        <f>IF(BQ30="","",IF(BQ30=$BL$27,"2"+AO18,IF(BQ30=$BM$27,"1"+AO18,IF(BQ30=$BN$27,"0"+AO18,IF(BQ30=$BO$27,"0"+AO18,IF(BQ30=$BP$27,"0"+AO18,"0"+AO18))))))</f>
        <v>1</v>
      </c>
      <c r="AP30" s="95" t="s">
        <v>16</v>
      </c>
      <c r="AQ30" s="102"/>
      <c r="AR30" s="103">
        <f>IF(BQ30="","",IF(BQ30=$BL$28,"2"+AR18,IF(BQ30=$BM$28,"1"+AR18,IF(BQ30=$BN$28,"0"+AR18,IF(BQ30=$BO$28,"0"+AR18,IF(BQ30=$BP$28,"0"+AR18,"0"+AR18))))))</f>
        <v>0</v>
      </c>
      <c r="AS30" s="243" t="s">
        <v>144</v>
      </c>
      <c r="AT30" s="244"/>
      <c r="AU30" s="244"/>
      <c r="AV30" s="244"/>
      <c r="AW30" s="244"/>
      <c r="AX30" s="244"/>
      <c r="AY30" s="244" t="str">
        <f>CONCATENATE(AJ30&amp;AL30)</f>
        <v>w3</v>
      </c>
      <c r="AZ30" s="244" t="str">
        <f>IF(AE30=$AW$28,"2","0")</f>
        <v>0</v>
      </c>
      <c r="BA30" s="244" t="str">
        <f>IF(AG30=$AW$28,"1","0")</f>
        <v>1</v>
      </c>
      <c r="BB30" s="244" t="str">
        <f>IF(AF30=$AW$28,"1","0")</f>
        <v>0</v>
      </c>
      <c r="BC30" s="244">
        <f>AZ30+BA30</f>
        <v>1</v>
      </c>
      <c r="BD30" s="244">
        <f>BB30+0</f>
        <v>0</v>
      </c>
      <c r="BE30" s="244"/>
      <c r="BF30" s="245"/>
      <c r="BL30" s="38" t="str">
        <f>IF(AE30="","",CONCATENATE($BL$29&amp;AJ30&amp;AE30))</f>
        <v/>
      </c>
      <c r="BM30" s="38" t="str">
        <f>IF(AG30="","",CONCATENATE($BM$29&amp;AJ30&amp;AG30))</f>
        <v>dwx</v>
      </c>
      <c r="BN30" s="38" t="str">
        <f>IF(AF30="","",CONCATENATE($BN$29&amp;AJ30,AF30))</f>
        <v/>
      </c>
      <c r="BO30" s="38" t="str">
        <f>IF(AH30="","",CONCATENATE($BO$29&amp;AJ30&amp;AH30))</f>
        <v/>
      </c>
      <c r="BP30" s="38" t="str">
        <f>IF(AI30="","",CONCATENATE($BP$29&amp;AJ30&amp;AI30))</f>
        <v/>
      </c>
      <c r="BQ30" s="38" t="str">
        <f>CONCATENATE(BL30&amp;BM30&amp;BN30&amp;BO30&amp;BP30)</f>
        <v>dwx</v>
      </c>
    </row>
    <row r="31" spans="1:256" ht="15.6" x14ac:dyDescent="0.3">
      <c r="A31" s="104"/>
      <c r="B31" s="397">
        <f>HLOOKUP($F$27,spelerslijsten!$B$1:$H$22,4,FALSE)</f>
        <v>3</v>
      </c>
      <c r="C31" s="398"/>
      <c r="D31" s="105"/>
      <c r="E31" s="106" t="str">
        <f>HLOOKUP($F$27,spelerslijsten!$B$1:$H$22,3,FALSE)</f>
        <v>Bjorn Blom</v>
      </c>
      <c r="F31" s="107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8">
        <f t="shared" ref="V31:V37" si="0">SUMIF($AY$30:$AY$63,AT31,$BC$30:$BC$63)</f>
        <v>1</v>
      </c>
      <c r="W31" s="109" t="str">
        <f>IF(AU31&gt;0,"x","")</f>
        <v/>
      </c>
      <c r="X31" s="110" t="str">
        <f>IF(AU31&gt;1,"x","")</f>
        <v/>
      </c>
      <c r="Y31" s="103" t="str">
        <f>IF(AU31&gt;2,"x","")</f>
        <v/>
      </c>
      <c r="Z31" s="111"/>
      <c r="AA31" s="112">
        <v>1</v>
      </c>
      <c r="AB31" s="113" t="str">
        <f>+AB30</f>
        <v>-</v>
      </c>
      <c r="AC31" s="112">
        <v>0</v>
      </c>
      <c r="AD31" s="114">
        <v>1</v>
      </c>
      <c r="AE31" s="115"/>
      <c r="AF31" s="115"/>
      <c r="AG31" s="116" t="s">
        <v>77</v>
      </c>
      <c r="AH31" s="117"/>
      <c r="AI31" s="117"/>
      <c r="AJ31" s="342" t="s">
        <v>142</v>
      </c>
      <c r="AK31" s="343"/>
      <c r="AL31" s="346">
        <v>2</v>
      </c>
      <c r="AM31" s="347"/>
      <c r="AN31" s="118"/>
      <c r="AO31" s="101">
        <f>IF(BQ31="","",IF(BQ31=$BL$27,"2"+AO30,IF(BQ31=$BM$27,"1"+AO30,IF(BQ31=$BN$27,"0"+AO30,IF(BQ31=$BO$27,"0"+AO30,IF(BQ31=$BP$27,"0"+AO30,"0"+AO30))))))</f>
        <v>1</v>
      </c>
      <c r="AP31" s="113" t="str">
        <f>+AP30</f>
        <v>-</v>
      </c>
      <c r="AQ31" s="119"/>
      <c r="AR31" s="103">
        <f>IF(BQ31="","",IF(BQ31=$BL$28,"2"+AR30,IF(BQ31=$BM$28,"1"+AR30,IF(BQ31=$BN$28,"0"+AR30,IF(BQ31=$BO$28,"0"+AR30,IF(BQ31=$BP$28,"0"+AR30,"0"+AR30))))))</f>
        <v>1</v>
      </c>
      <c r="AS31" s="246" t="s">
        <v>145</v>
      </c>
      <c r="AT31" s="247" t="str">
        <f>CONCATENATE($AU$28&amp;B31)</f>
        <v>W3</v>
      </c>
      <c r="AU31" s="247">
        <f>SUMIF($AY$30:$AY$63,AT31,$BD$30:$BD$63)</f>
        <v>0</v>
      </c>
      <c r="AV31" s="247"/>
      <c r="AW31" s="247"/>
      <c r="AX31" s="247"/>
      <c r="AY31" s="247" t="str">
        <f t="shared" ref="AY31:AY63" si="1">CONCATENATE(AJ31&amp;AL31)</f>
        <v>b2</v>
      </c>
      <c r="AZ31" s="247" t="str">
        <f t="shared" ref="AZ31:AZ63" si="2">IF(AE31=$AW$28,"2","0")</f>
        <v>0</v>
      </c>
      <c r="BA31" s="247" t="str">
        <f t="shared" ref="BA31:BA63" si="3">IF(AG31=$AW$28,"1","0")</f>
        <v>1</v>
      </c>
      <c r="BB31" s="247" t="str">
        <f t="shared" ref="BB31:BB63" si="4">IF(AF31=$AW$28,"1","0")</f>
        <v>0</v>
      </c>
      <c r="BC31" s="247">
        <f t="shared" ref="BC31:BC63" si="5">AZ31+BA31</f>
        <v>1</v>
      </c>
      <c r="BD31" s="247">
        <f t="shared" ref="BD31:BD63" si="6">BB31+0</f>
        <v>0</v>
      </c>
      <c r="BE31" s="247"/>
      <c r="BF31" s="248"/>
      <c r="BL31" s="38" t="str">
        <f t="shared" ref="BL31:BL63" si="7">IF(AE31="","",CONCATENATE($BL$29&amp;AJ31&amp;AE31))</f>
        <v/>
      </c>
      <c r="BM31" s="38" t="str">
        <f t="shared" ref="BM31:BM63" si="8">IF(AG31="","",CONCATENATE($BM$29&amp;AJ31&amp;AG31))</f>
        <v>dbx</v>
      </c>
      <c r="BN31" s="38" t="str">
        <f t="shared" ref="BN31:BN63" si="9">IF(AF31="","",CONCATENATE($BN$29&amp;AJ31,AF31))</f>
        <v/>
      </c>
      <c r="BO31" s="38" t="str">
        <f t="shared" ref="BO31:BO63" si="10">IF(AH31="","",CONCATENATE($BO$29&amp;AJ31&amp;AH31))</f>
        <v/>
      </c>
      <c r="BP31" s="38" t="str">
        <f t="shared" ref="BP31:BP63" si="11">IF(AI31="","",CONCATENATE($BP$29&amp;AJ31&amp;AI31))</f>
        <v/>
      </c>
      <c r="BQ31" s="38" t="str">
        <f t="shared" ref="BQ31:BQ63" si="12">CONCATENATE(BL31&amp;BM31&amp;BN31&amp;BO31&amp;BP31)</f>
        <v>dbx</v>
      </c>
    </row>
    <row r="32" spans="1:256" ht="15.6" x14ac:dyDescent="0.3">
      <c r="A32" s="120"/>
      <c r="B32" s="397">
        <f>HLOOKUP($F$27,spelerslijsten!$B$1:$H$22,6,FALSE)</f>
        <v>4</v>
      </c>
      <c r="C32" s="398"/>
      <c r="D32" s="121"/>
      <c r="E32" s="122" t="str">
        <f>HLOOKUP($F$27,spelerslijsten!$B$1:$H$22,5,FALSE)</f>
        <v>Wesley van Eldijk</v>
      </c>
      <c r="F32" s="123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08">
        <f t="shared" si="0"/>
        <v>0</v>
      </c>
      <c r="W32" s="109" t="str">
        <f t="shared" ref="W32:W40" si="13">IF(AU32&gt;0,"x","")</f>
        <v/>
      </c>
      <c r="X32" s="110" t="str">
        <f t="shared" ref="X32:X40" si="14">IF(AU32&gt;1,"x","")</f>
        <v/>
      </c>
      <c r="Y32" s="103" t="str">
        <f t="shared" ref="Y32:Y40" si="15">IF(AU32&gt;2,"x","")</f>
        <v/>
      </c>
      <c r="Z32" s="111"/>
      <c r="AA32" s="112">
        <v>1</v>
      </c>
      <c r="AB32" s="113" t="str">
        <f t="shared" ref="AB32:AB61" si="16">+AB31</f>
        <v>-</v>
      </c>
      <c r="AC32" s="112">
        <v>2</v>
      </c>
      <c r="AD32" s="114">
        <v>5</v>
      </c>
      <c r="AE32" s="115" t="s">
        <v>77</v>
      </c>
      <c r="AF32" s="115"/>
      <c r="AG32" s="116"/>
      <c r="AH32" s="117"/>
      <c r="AI32" s="117"/>
      <c r="AJ32" s="342" t="s">
        <v>136</v>
      </c>
      <c r="AK32" s="343"/>
      <c r="AL32" s="346">
        <v>7</v>
      </c>
      <c r="AM32" s="347"/>
      <c r="AN32" s="118"/>
      <c r="AO32" s="101">
        <f>IF(BQ32="","",IF(BQ32=$BL$27,"2"+AO31,IF(BQ32=$BM$27,"1"+AO31,IF(BQ32=$BN$27,"0"+AO31,IF(BQ32=$BO$27,"0"+AO31,IF(BQ32=$BP$27,"0"+AO31,"0"+AO31))))))</f>
        <v>3</v>
      </c>
      <c r="AP32" s="113" t="str">
        <f>+AP31</f>
        <v>-</v>
      </c>
      <c r="AQ32" s="119"/>
      <c r="AR32" s="103">
        <f>IF(BQ32="","",IF(BQ32=$BL$28,"2"+AR31,IF(BQ32=$BM$28,"1"+AR31,IF(BQ32=$BN$28,"0"+AR31,IF(BQ32=$BO$28,"0"+AR31,IF(BQ32=$BP$28,"0"+AR31,"0"+AR31))))))</f>
        <v>1</v>
      </c>
      <c r="AS32" s="246" t="s">
        <v>146</v>
      </c>
      <c r="AT32" s="247" t="str">
        <f t="shared" ref="AT32:AT40" si="17">CONCATENATE($AU$28&amp;B32)</f>
        <v>W4</v>
      </c>
      <c r="AU32" s="247">
        <f t="shared" ref="AU32:AU56" si="18">SUMIF($AY$30:$AY$63,AT32,$BD$30:$BD$63)</f>
        <v>0</v>
      </c>
      <c r="AV32" s="247"/>
      <c r="AW32" s="247"/>
      <c r="AX32" s="247"/>
      <c r="AY32" s="247" t="str">
        <f t="shared" si="1"/>
        <v>w7</v>
      </c>
      <c r="AZ32" s="247" t="str">
        <f t="shared" si="2"/>
        <v>2</v>
      </c>
      <c r="BA32" s="247" t="str">
        <f t="shared" si="3"/>
        <v>0</v>
      </c>
      <c r="BB32" s="247" t="str">
        <f t="shared" si="4"/>
        <v>0</v>
      </c>
      <c r="BC32" s="247">
        <f t="shared" si="5"/>
        <v>2</v>
      </c>
      <c r="BD32" s="247">
        <f t="shared" si="6"/>
        <v>0</v>
      </c>
      <c r="BE32" s="247"/>
      <c r="BF32" s="248"/>
      <c r="BL32" s="38" t="str">
        <f t="shared" si="7"/>
        <v>swwx</v>
      </c>
      <c r="BM32" s="38" t="str">
        <f t="shared" si="8"/>
        <v/>
      </c>
      <c r="BN32" s="38" t="str">
        <f t="shared" si="9"/>
        <v/>
      </c>
      <c r="BO32" s="38" t="str">
        <f t="shared" si="10"/>
        <v/>
      </c>
      <c r="BP32" s="38" t="str">
        <f t="shared" si="11"/>
        <v/>
      </c>
      <c r="BQ32" s="38" t="str">
        <f t="shared" si="12"/>
        <v>swwx</v>
      </c>
    </row>
    <row r="33" spans="1:69" ht="15.6" x14ac:dyDescent="0.3">
      <c r="A33" s="124"/>
      <c r="B33" s="397">
        <f>HLOOKUP($F$27,spelerslijsten!$B$1:$H$22,8,FALSE)</f>
        <v>5</v>
      </c>
      <c r="C33" s="398"/>
      <c r="D33" s="121"/>
      <c r="E33" s="122" t="str">
        <f>HLOOKUP($F$27,spelerslijsten!$B$1:$H$22,7,FALSE)</f>
        <v>Jurriaan Rijnaars</v>
      </c>
      <c r="F33" s="12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08">
        <f t="shared" si="0"/>
        <v>0</v>
      </c>
      <c r="W33" s="109" t="str">
        <f t="shared" si="13"/>
        <v/>
      </c>
      <c r="X33" s="110" t="str">
        <f t="shared" si="14"/>
        <v/>
      </c>
      <c r="Y33" s="103" t="str">
        <f t="shared" si="15"/>
        <v/>
      </c>
      <c r="Z33" s="111"/>
      <c r="AA33" s="112">
        <v>2</v>
      </c>
      <c r="AB33" s="113" t="str">
        <f t="shared" si="16"/>
        <v>-</v>
      </c>
      <c r="AC33" s="112">
        <v>1</v>
      </c>
      <c r="AD33" s="114">
        <v>0</v>
      </c>
      <c r="AE33" s="115" t="s">
        <v>77</v>
      </c>
      <c r="AF33" s="115"/>
      <c r="AG33" s="116"/>
      <c r="AH33" s="117"/>
      <c r="AI33" s="117"/>
      <c r="AJ33" s="342" t="s">
        <v>142</v>
      </c>
      <c r="AK33" s="343"/>
      <c r="AL33" s="346">
        <v>10</v>
      </c>
      <c r="AM33" s="347"/>
      <c r="AN33" s="118"/>
      <c r="AO33" s="101">
        <f t="shared" ref="AO33:AO63" si="19">IF(BQ33="","",IF(BQ33=$BL$27,"2"+AO32,IF(BQ33=$BM$27,"1"+AO32,IF(BQ33=$BN$27,"0"+AO32,IF(BQ33=$BO$27,"0"+AO32,IF(BQ33=$BP$27,"0"+AO32,"0"+AO32))))))</f>
        <v>3</v>
      </c>
      <c r="AP33" s="113" t="str">
        <f t="shared" ref="AP33:AP63" si="20">+AP32</f>
        <v>-</v>
      </c>
      <c r="AQ33" s="119"/>
      <c r="AR33" s="103">
        <f t="shared" ref="AR33:AR63" si="21">IF(BQ33="","",IF(BQ33=$BL$28,"2"+AR32,IF(BQ33=$BM$28,"1"+AR32,IF(BQ33=$BN$28,"0"+AR32,IF(BQ33=$BO$28,"0"+AR32,IF(BQ33=$BP$28,"0"+AR32,"0"+AR32))))))</f>
        <v>3</v>
      </c>
      <c r="AS33" s="246" t="s">
        <v>147</v>
      </c>
      <c r="AT33" s="247" t="str">
        <f t="shared" si="17"/>
        <v>W5</v>
      </c>
      <c r="AU33" s="247">
        <f t="shared" si="18"/>
        <v>0</v>
      </c>
      <c r="AV33" s="247"/>
      <c r="AW33" s="247"/>
      <c r="AX33" s="247"/>
      <c r="AY33" s="247" t="str">
        <f t="shared" si="1"/>
        <v>b10</v>
      </c>
      <c r="AZ33" s="247" t="str">
        <f t="shared" si="2"/>
        <v>2</v>
      </c>
      <c r="BA33" s="247" t="str">
        <f t="shared" si="3"/>
        <v>0</v>
      </c>
      <c r="BB33" s="247" t="str">
        <f t="shared" si="4"/>
        <v>0</v>
      </c>
      <c r="BC33" s="247">
        <f t="shared" si="5"/>
        <v>2</v>
      </c>
      <c r="BD33" s="247">
        <f t="shared" si="6"/>
        <v>0</v>
      </c>
      <c r="BE33" s="247"/>
      <c r="BF33" s="248"/>
      <c r="BL33" s="38" t="str">
        <f t="shared" si="7"/>
        <v>swbx</v>
      </c>
      <c r="BM33" s="38" t="str">
        <f t="shared" si="8"/>
        <v/>
      </c>
      <c r="BN33" s="38" t="str">
        <f t="shared" si="9"/>
        <v/>
      </c>
      <c r="BO33" s="38" t="str">
        <f t="shared" si="10"/>
        <v/>
      </c>
      <c r="BP33" s="38" t="str">
        <f t="shared" si="11"/>
        <v/>
      </c>
      <c r="BQ33" s="38" t="str">
        <f t="shared" si="12"/>
        <v>swbx</v>
      </c>
    </row>
    <row r="34" spans="1:69" ht="15.6" x14ac:dyDescent="0.3">
      <c r="A34" s="124"/>
      <c r="B34" s="397">
        <f>HLOOKUP($F$27,spelerslijsten!$B$1:$H$22,10,FALSE)</f>
        <v>6</v>
      </c>
      <c r="C34" s="398"/>
      <c r="D34" s="121"/>
      <c r="E34" s="122" t="str">
        <f>HLOOKUP($F$27,spelerslijsten!$B$1:$H$22,9,FALSE)</f>
        <v>Lucas van Osch</v>
      </c>
      <c r="F34" s="12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08">
        <f t="shared" si="0"/>
        <v>0</v>
      </c>
      <c r="W34" s="109" t="str">
        <f t="shared" si="13"/>
        <v/>
      </c>
      <c r="X34" s="110" t="str">
        <f t="shared" si="14"/>
        <v/>
      </c>
      <c r="Y34" s="103" t="str">
        <f t="shared" si="15"/>
        <v/>
      </c>
      <c r="Z34" s="111"/>
      <c r="AA34" s="112">
        <v>2</v>
      </c>
      <c r="AB34" s="113" t="str">
        <f t="shared" si="16"/>
        <v>-</v>
      </c>
      <c r="AC34" s="112">
        <v>2</v>
      </c>
      <c r="AD34" s="114">
        <v>5</v>
      </c>
      <c r="AE34" s="115"/>
      <c r="AF34" s="115"/>
      <c r="AG34" s="116" t="s">
        <v>77</v>
      </c>
      <c r="AH34" s="117"/>
      <c r="AI34" s="117"/>
      <c r="AJ34" s="342" t="s">
        <v>142</v>
      </c>
      <c r="AK34" s="343"/>
      <c r="AL34" s="346" t="s">
        <v>149</v>
      </c>
      <c r="AM34" s="347"/>
      <c r="AN34" s="118"/>
      <c r="AO34" s="101">
        <f t="shared" si="19"/>
        <v>3</v>
      </c>
      <c r="AP34" s="113" t="str">
        <f t="shared" si="20"/>
        <v>-</v>
      </c>
      <c r="AQ34" s="119"/>
      <c r="AR34" s="103">
        <f t="shared" si="21"/>
        <v>4</v>
      </c>
      <c r="AS34" s="246" t="s">
        <v>148</v>
      </c>
      <c r="AT34" s="247" t="str">
        <f t="shared" si="17"/>
        <v>W6</v>
      </c>
      <c r="AU34" s="247">
        <f t="shared" si="18"/>
        <v>0</v>
      </c>
      <c r="AV34" s="247"/>
      <c r="AW34" s="247"/>
      <c r="AX34" s="247"/>
      <c r="AY34" s="247" t="str">
        <f t="shared" si="1"/>
        <v>bed9</v>
      </c>
      <c r="AZ34" s="247" t="str">
        <f t="shared" si="2"/>
        <v>0</v>
      </c>
      <c r="BA34" s="247" t="str">
        <f t="shared" si="3"/>
        <v>1</v>
      </c>
      <c r="BB34" s="247" t="str">
        <f t="shared" si="4"/>
        <v>0</v>
      </c>
      <c r="BC34" s="247">
        <f t="shared" si="5"/>
        <v>1</v>
      </c>
      <c r="BD34" s="247">
        <f t="shared" si="6"/>
        <v>0</v>
      </c>
      <c r="BE34" s="247"/>
      <c r="BF34" s="248"/>
      <c r="BL34" s="38" t="str">
        <f t="shared" si="7"/>
        <v/>
      </c>
      <c r="BM34" s="38" t="str">
        <f t="shared" si="8"/>
        <v>dbx</v>
      </c>
      <c r="BN34" s="38" t="str">
        <f t="shared" si="9"/>
        <v/>
      </c>
      <c r="BO34" s="38" t="str">
        <f t="shared" si="10"/>
        <v/>
      </c>
      <c r="BP34" s="38" t="str">
        <f t="shared" si="11"/>
        <v/>
      </c>
      <c r="BQ34" s="38" t="str">
        <f t="shared" si="12"/>
        <v>dbx</v>
      </c>
    </row>
    <row r="35" spans="1:69" ht="15.6" x14ac:dyDescent="0.3">
      <c r="A35" s="124"/>
      <c r="B35" s="397">
        <f>HLOOKUP($F$27,spelerslijsten!$B$1:$H$22,12,FALSE)</f>
        <v>7</v>
      </c>
      <c r="C35" s="398"/>
      <c r="D35" s="121"/>
      <c r="E35" s="122" t="str">
        <f>HLOOKUP($F$27,spelerslijsten!$B$1:$H$22,11,FALSE)</f>
        <v>Helmi van Hirtum</v>
      </c>
      <c r="F35" s="12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08">
        <f t="shared" si="0"/>
        <v>2</v>
      </c>
      <c r="W35" s="109" t="str">
        <f t="shared" si="13"/>
        <v/>
      </c>
      <c r="X35" s="110" t="str">
        <f t="shared" si="14"/>
        <v/>
      </c>
      <c r="Y35" s="103" t="str">
        <f t="shared" si="15"/>
        <v/>
      </c>
      <c r="Z35" s="111"/>
      <c r="AA35" s="112">
        <v>3</v>
      </c>
      <c r="AB35" s="113" t="s">
        <v>16</v>
      </c>
      <c r="AC35" s="112">
        <v>0</v>
      </c>
      <c r="AD35" s="114">
        <v>0</v>
      </c>
      <c r="AE35" s="115"/>
      <c r="AF35" s="115"/>
      <c r="AG35" s="116" t="s">
        <v>77</v>
      </c>
      <c r="AH35" s="117"/>
      <c r="AI35" s="117"/>
      <c r="AJ35" s="342" t="s">
        <v>136</v>
      </c>
      <c r="AK35" s="343"/>
      <c r="AL35" s="346" t="s">
        <v>151</v>
      </c>
      <c r="AM35" s="347"/>
      <c r="AN35" s="118"/>
      <c r="AO35" s="101">
        <f t="shared" si="19"/>
        <v>4</v>
      </c>
      <c r="AP35" s="113" t="str">
        <f t="shared" si="20"/>
        <v>-</v>
      </c>
      <c r="AQ35" s="119"/>
      <c r="AR35" s="103">
        <f t="shared" si="21"/>
        <v>4</v>
      </c>
      <c r="AS35" s="246" t="s">
        <v>150</v>
      </c>
      <c r="AT35" s="247" t="str">
        <f t="shared" si="17"/>
        <v>W7</v>
      </c>
      <c r="AU35" s="247">
        <f t="shared" si="18"/>
        <v>0</v>
      </c>
      <c r="AV35" s="247"/>
      <c r="AW35" s="247"/>
      <c r="AX35" s="247"/>
      <c r="AY35" s="247" t="str">
        <f t="shared" si="1"/>
        <v>weg5</v>
      </c>
      <c r="AZ35" s="247" t="str">
        <f t="shared" si="2"/>
        <v>0</v>
      </c>
      <c r="BA35" s="247" t="str">
        <f t="shared" si="3"/>
        <v>1</v>
      </c>
      <c r="BB35" s="247" t="str">
        <f t="shared" si="4"/>
        <v>0</v>
      </c>
      <c r="BC35" s="247">
        <f t="shared" si="5"/>
        <v>1</v>
      </c>
      <c r="BD35" s="247">
        <f t="shared" si="6"/>
        <v>0</v>
      </c>
      <c r="BE35" s="247"/>
      <c r="BF35" s="248"/>
      <c r="BL35" s="38" t="str">
        <f t="shared" si="7"/>
        <v/>
      </c>
      <c r="BM35" s="38" t="str">
        <f t="shared" si="8"/>
        <v>dwx</v>
      </c>
      <c r="BN35" s="38" t="str">
        <f t="shared" si="9"/>
        <v/>
      </c>
      <c r="BO35" s="38" t="str">
        <f t="shared" si="10"/>
        <v/>
      </c>
      <c r="BP35" s="38" t="str">
        <f t="shared" si="11"/>
        <v/>
      </c>
      <c r="BQ35" s="38" t="str">
        <f t="shared" si="12"/>
        <v>dwx</v>
      </c>
    </row>
    <row r="36" spans="1:69" ht="15.6" x14ac:dyDescent="0.3">
      <c r="A36" s="124"/>
      <c r="B36" s="397">
        <f>HLOOKUP($F$27,spelerslijsten!$B$1:$H$22,14,FALSE)</f>
        <v>8</v>
      </c>
      <c r="C36" s="398"/>
      <c r="D36" s="121"/>
      <c r="E36" s="122" t="str">
        <f>HLOOKUP($F$27,spelerslijsten!$B$1:$H$22,13,FALSE)</f>
        <v>Sara van Grinsven</v>
      </c>
      <c r="F36" s="12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08">
        <f t="shared" si="0"/>
        <v>0</v>
      </c>
      <c r="W36" s="109" t="str">
        <f t="shared" si="13"/>
        <v>x</v>
      </c>
      <c r="X36" s="110" t="str">
        <f t="shared" si="14"/>
        <v/>
      </c>
      <c r="Y36" s="103" t="str">
        <f t="shared" si="15"/>
        <v/>
      </c>
      <c r="Z36" s="111"/>
      <c r="AA36" s="112">
        <v>3</v>
      </c>
      <c r="AB36" s="113" t="str">
        <f t="shared" si="16"/>
        <v>-</v>
      </c>
      <c r="AC36" s="112">
        <v>0</v>
      </c>
      <c r="AD36" s="114">
        <v>9</v>
      </c>
      <c r="AE36" s="115"/>
      <c r="AF36" s="115" t="s">
        <v>77</v>
      </c>
      <c r="AG36" s="116"/>
      <c r="AH36" s="117"/>
      <c r="AI36" s="117"/>
      <c r="AJ36" s="342" t="s">
        <v>136</v>
      </c>
      <c r="AK36" s="343"/>
      <c r="AL36" s="346">
        <v>8</v>
      </c>
      <c r="AM36" s="347"/>
      <c r="AN36" s="118"/>
      <c r="AO36" s="101">
        <f t="shared" si="19"/>
        <v>4</v>
      </c>
      <c r="AP36" s="113" t="str">
        <f t="shared" si="20"/>
        <v>-</v>
      </c>
      <c r="AQ36" s="119"/>
      <c r="AR36" s="103">
        <f t="shared" si="21"/>
        <v>4</v>
      </c>
      <c r="AS36" s="246" t="s">
        <v>153</v>
      </c>
      <c r="AT36" s="247" t="str">
        <f t="shared" si="17"/>
        <v>W8</v>
      </c>
      <c r="AU36" s="247">
        <f t="shared" si="18"/>
        <v>1</v>
      </c>
      <c r="AV36" s="247"/>
      <c r="AW36" s="247"/>
      <c r="AX36" s="247"/>
      <c r="AY36" s="247" t="str">
        <f t="shared" si="1"/>
        <v>w8</v>
      </c>
      <c r="AZ36" s="247" t="str">
        <f t="shared" si="2"/>
        <v>0</v>
      </c>
      <c r="BA36" s="247" t="str">
        <f t="shared" si="3"/>
        <v>0</v>
      </c>
      <c r="BB36" s="247" t="str">
        <f t="shared" si="4"/>
        <v>1</v>
      </c>
      <c r="BC36" s="247">
        <f t="shared" si="5"/>
        <v>0</v>
      </c>
      <c r="BD36" s="247">
        <f t="shared" si="6"/>
        <v>1</v>
      </c>
      <c r="BE36" s="247"/>
      <c r="BF36" s="248"/>
      <c r="BL36" s="38" t="str">
        <f t="shared" si="7"/>
        <v/>
      </c>
      <c r="BM36" s="38" t="str">
        <f t="shared" si="8"/>
        <v/>
      </c>
      <c r="BN36" s="38" t="str">
        <f t="shared" si="9"/>
        <v>pwx</v>
      </c>
      <c r="BO36" s="38" t="str">
        <f t="shared" si="10"/>
        <v/>
      </c>
      <c r="BP36" s="38" t="str">
        <f t="shared" si="11"/>
        <v/>
      </c>
      <c r="BQ36" s="38" t="str">
        <f t="shared" si="12"/>
        <v>pwx</v>
      </c>
    </row>
    <row r="37" spans="1:69" ht="15.6" x14ac:dyDescent="0.3">
      <c r="A37" s="124"/>
      <c r="B37" s="397">
        <f>HLOOKUP($F$27,spelerslijsten!$B$1:$H$22,16,FALSE)</f>
        <v>9</v>
      </c>
      <c r="C37" s="398"/>
      <c r="D37" s="121"/>
      <c r="E37" s="122" t="str">
        <f>HLOOKUP($F$27,spelerslijsten!$B$1:$H$22,15,FALSE)</f>
        <v>Robby van Gruythuysen</v>
      </c>
      <c r="F37" s="12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08">
        <f t="shared" si="0"/>
        <v>0</v>
      </c>
      <c r="W37" s="109" t="str">
        <f t="shared" si="13"/>
        <v/>
      </c>
      <c r="X37" s="110" t="str">
        <f t="shared" si="14"/>
        <v/>
      </c>
      <c r="Y37" s="103" t="str">
        <f t="shared" si="15"/>
        <v/>
      </c>
      <c r="Z37" s="111"/>
      <c r="AA37" s="112">
        <v>4</v>
      </c>
      <c r="AB37" s="113" t="str">
        <f t="shared" si="16"/>
        <v>-</v>
      </c>
      <c r="AC37" s="112">
        <v>3</v>
      </c>
      <c r="AD37" s="114">
        <v>5</v>
      </c>
      <c r="AE37" s="115"/>
      <c r="AF37" s="115" t="s">
        <v>77</v>
      </c>
      <c r="AG37" s="116"/>
      <c r="AH37" s="117"/>
      <c r="AI37" s="117"/>
      <c r="AJ37" s="342" t="s">
        <v>18</v>
      </c>
      <c r="AK37" s="343"/>
      <c r="AL37" s="346">
        <v>7</v>
      </c>
      <c r="AM37" s="347"/>
      <c r="AN37" s="118"/>
      <c r="AO37" s="101">
        <f t="shared" si="19"/>
        <v>4</v>
      </c>
      <c r="AP37" s="113" t="str">
        <f t="shared" si="20"/>
        <v>-</v>
      </c>
      <c r="AQ37" s="119"/>
      <c r="AR37" s="103">
        <f t="shared" si="21"/>
        <v>4</v>
      </c>
      <c r="AS37" s="246" t="s">
        <v>152</v>
      </c>
      <c r="AT37" s="247" t="str">
        <f t="shared" si="17"/>
        <v>W9</v>
      </c>
      <c r="AU37" s="247">
        <f t="shared" si="18"/>
        <v>0</v>
      </c>
      <c r="AV37" s="247"/>
      <c r="AW37" s="247"/>
      <c r="AX37" s="247"/>
      <c r="AY37" s="247" t="str">
        <f t="shared" si="1"/>
        <v>B7</v>
      </c>
      <c r="AZ37" s="247" t="str">
        <f t="shared" si="2"/>
        <v>0</v>
      </c>
      <c r="BA37" s="247" t="str">
        <f t="shared" si="3"/>
        <v>0</v>
      </c>
      <c r="BB37" s="247" t="str">
        <f t="shared" si="4"/>
        <v>1</v>
      </c>
      <c r="BC37" s="247">
        <f t="shared" si="5"/>
        <v>0</v>
      </c>
      <c r="BD37" s="247">
        <f t="shared" si="6"/>
        <v>1</v>
      </c>
      <c r="BE37" s="247"/>
      <c r="BF37" s="248"/>
      <c r="BL37" s="38" t="str">
        <f t="shared" si="7"/>
        <v/>
      </c>
      <c r="BM37" s="38" t="str">
        <f t="shared" si="8"/>
        <v/>
      </c>
      <c r="BN37" s="38" t="str">
        <f t="shared" si="9"/>
        <v>pBx</v>
      </c>
      <c r="BO37" s="38" t="str">
        <f t="shared" si="10"/>
        <v/>
      </c>
      <c r="BP37" s="38" t="str">
        <f t="shared" si="11"/>
        <v/>
      </c>
      <c r="BQ37" s="38" t="str">
        <f t="shared" si="12"/>
        <v>pBx</v>
      </c>
    </row>
    <row r="38" spans="1:69" ht="15.6" x14ac:dyDescent="0.3">
      <c r="A38" s="124"/>
      <c r="B38" s="397">
        <f>HLOOKUP($F$27,spelerslijsten!$B$1:$H$22,18,FALSE)</f>
        <v>10</v>
      </c>
      <c r="C38" s="398"/>
      <c r="D38" s="121"/>
      <c r="E38" s="122" t="str">
        <f>HLOOKUP($F$27,spelerslijsten!$B$1:$H$22,17,FALSE)</f>
        <v>Peter Schwering</v>
      </c>
      <c r="F38" s="12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08">
        <f>SUMIF($AY$30:$AY$63,AT38,$BC$30:$BC$63)</f>
        <v>0</v>
      </c>
      <c r="W38" s="109" t="str">
        <f t="shared" si="13"/>
        <v/>
      </c>
      <c r="X38" s="110" t="str">
        <f t="shared" si="14"/>
        <v/>
      </c>
      <c r="Y38" s="103" t="str">
        <f t="shared" si="15"/>
        <v/>
      </c>
      <c r="Z38" s="111"/>
      <c r="AA38" s="112">
        <v>5</v>
      </c>
      <c r="AB38" s="113" t="str">
        <f t="shared" si="16"/>
        <v>-</v>
      </c>
      <c r="AC38" s="112">
        <v>1</v>
      </c>
      <c r="AD38" s="114">
        <v>2</v>
      </c>
      <c r="AE38" s="115"/>
      <c r="AF38" s="115"/>
      <c r="AG38" s="116"/>
      <c r="AH38" s="117" t="s">
        <v>77</v>
      </c>
      <c r="AI38" s="117"/>
      <c r="AJ38" s="342" t="s">
        <v>17</v>
      </c>
      <c r="AK38" s="343"/>
      <c r="AL38" s="346">
        <v>8</v>
      </c>
      <c r="AM38" s="347"/>
      <c r="AN38" s="118"/>
      <c r="AO38" s="101">
        <f t="shared" si="19"/>
        <v>4</v>
      </c>
      <c r="AP38" s="113" t="str">
        <f t="shared" si="20"/>
        <v>-</v>
      </c>
      <c r="AQ38" s="119"/>
      <c r="AR38" s="103">
        <f t="shared" si="21"/>
        <v>4</v>
      </c>
      <c r="AS38" s="246" t="s">
        <v>154</v>
      </c>
      <c r="AT38" s="247" t="str">
        <f t="shared" si="17"/>
        <v>W10</v>
      </c>
      <c r="AU38" s="247">
        <f t="shared" si="18"/>
        <v>0</v>
      </c>
      <c r="AV38" s="247"/>
      <c r="AW38" s="247"/>
      <c r="AX38" s="247"/>
      <c r="AY38" s="247" t="str">
        <f t="shared" si="1"/>
        <v>W8</v>
      </c>
      <c r="AZ38" s="247" t="str">
        <f t="shared" si="2"/>
        <v>0</v>
      </c>
      <c r="BA38" s="247" t="str">
        <f t="shared" si="3"/>
        <v>0</v>
      </c>
      <c r="BB38" s="247" t="str">
        <f t="shared" si="4"/>
        <v>0</v>
      </c>
      <c r="BC38" s="247">
        <f t="shared" si="5"/>
        <v>0</v>
      </c>
      <c r="BD38" s="247">
        <f t="shared" si="6"/>
        <v>0</v>
      </c>
      <c r="BE38" s="247"/>
      <c r="BF38" s="248"/>
      <c r="BL38" s="38" t="str">
        <f t="shared" si="7"/>
        <v/>
      </c>
      <c r="BM38" s="38" t="str">
        <f t="shared" si="8"/>
        <v/>
      </c>
      <c r="BN38" s="38" t="str">
        <f t="shared" si="9"/>
        <v/>
      </c>
      <c r="BO38" s="38" t="str">
        <f t="shared" si="10"/>
        <v>umvWx</v>
      </c>
      <c r="BP38" s="38" t="str">
        <f t="shared" si="11"/>
        <v/>
      </c>
      <c r="BQ38" s="38" t="str">
        <f t="shared" si="12"/>
        <v>umvWx</v>
      </c>
    </row>
    <row r="39" spans="1:69" ht="16.2" thickBot="1" x14ac:dyDescent="0.35">
      <c r="A39" s="124"/>
      <c r="B39" s="397">
        <f>HLOOKUP($F$27,spelerslijsten!$B$1:$H$22,20,FALSE)</f>
        <v>11</v>
      </c>
      <c r="C39" s="398"/>
      <c r="D39" s="121"/>
      <c r="E39" s="122" t="str">
        <f>HLOOKUP($F$27,spelerslijsten!$B$1:$H$22,19,FALSE)</f>
        <v>Stefan Hermens</v>
      </c>
      <c r="F39" s="121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08">
        <f t="shared" ref="V39:V40" si="22">SUMIF($AY$30:$AY$63,AT39,$BC$30:$BC$63)</f>
        <v>0</v>
      </c>
      <c r="W39" s="109" t="str">
        <f t="shared" si="13"/>
        <v/>
      </c>
      <c r="X39" s="110" t="str">
        <f t="shared" si="14"/>
        <v/>
      </c>
      <c r="Y39" s="103" t="str">
        <f t="shared" si="15"/>
        <v/>
      </c>
      <c r="Z39" s="111"/>
      <c r="AA39" s="112">
        <v>6</v>
      </c>
      <c r="AB39" s="113" t="str">
        <f t="shared" si="16"/>
        <v>-</v>
      </c>
      <c r="AC39" s="112">
        <v>5</v>
      </c>
      <c r="AD39" s="114">
        <v>9</v>
      </c>
      <c r="AE39" s="115"/>
      <c r="AF39" s="115"/>
      <c r="AG39" s="116"/>
      <c r="AH39" s="117"/>
      <c r="AI39" s="117" t="s">
        <v>77</v>
      </c>
      <c r="AJ39" s="342" t="s">
        <v>18</v>
      </c>
      <c r="AK39" s="343"/>
      <c r="AL39" s="346">
        <v>3</v>
      </c>
      <c r="AM39" s="347"/>
      <c r="AN39" s="118"/>
      <c r="AO39" s="101">
        <f t="shared" si="19"/>
        <v>4</v>
      </c>
      <c r="AP39" s="113" t="str">
        <f t="shared" si="20"/>
        <v>-</v>
      </c>
      <c r="AQ39" s="119"/>
      <c r="AR39" s="103">
        <f t="shared" si="21"/>
        <v>4</v>
      </c>
      <c r="AS39" s="249" t="s">
        <v>155</v>
      </c>
      <c r="AT39" s="250" t="str">
        <f t="shared" si="17"/>
        <v>W11</v>
      </c>
      <c r="AU39" s="250">
        <f t="shared" si="18"/>
        <v>0</v>
      </c>
      <c r="AV39" s="250"/>
      <c r="AW39" s="250"/>
      <c r="AX39" s="250"/>
      <c r="AY39" s="250" t="str">
        <f t="shared" si="1"/>
        <v>B3</v>
      </c>
      <c r="AZ39" s="250" t="str">
        <f t="shared" si="2"/>
        <v>0</v>
      </c>
      <c r="BA39" s="250" t="str">
        <f t="shared" si="3"/>
        <v>0</v>
      </c>
      <c r="BB39" s="250" t="str">
        <f t="shared" si="4"/>
        <v>0</v>
      </c>
      <c r="BC39" s="250">
        <f t="shared" si="5"/>
        <v>0</v>
      </c>
      <c r="BD39" s="250">
        <f t="shared" si="6"/>
        <v>0</v>
      </c>
      <c r="BE39" s="250"/>
      <c r="BF39" s="251"/>
      <c r="BL39" s="38" t="str">
        <f t="shared" si="7"/>
        <v/>
      </c>
      <c r="BM39" s="38" t="str">
        <f t="shared" si="8"/>
        <v/>
      </c>
      <c r="BN39" s="38" t="str">
        <f t="shared" si="9"/>
        <v/>
      </c>
      <c r="BO39" s="38" t="str">
        <f t="shared" si="10"/>
        <v/>
      </c>
      <c r="BP39" s="38" t="str">
        <f t="shared" si="11"/>
        <v>uzvBx</v>
      </c>
      <c r="BQ39" s="38" t="str">
        <f t="shared" si="12"/>
        <v>uzvBx</v>
      </c>
    </row>
    <row r="40" spans="1:69" ht="15.6" x14ac:dyDescent="0.3">
      <c r="A40" s="125"/>
      <c r="B40" s="397">
        <f>HLOOKUP($F$27,spelerslijsten!$B$1:$H$22,22,FALSE)</f>
        <v>0</v>
      </c>
      <c r="C40" s="398"/>
      <c r="D40" s="126"/>
      <c r="E40" s="127">
        <f>HLOOKUP($F$27,spelerslijsten!$B$1:$H$22,21,FALSE)</f>
        <v>0</v>
      </c>
      <c r="F40" s="126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08">
        <f t="shared" si="22"/>
        <v>0</v>
      </c>
      <c r="W40" s="109" t="str">
        <f t="shared" si="13"/>
        <v/>
      </c>
      <c r="X40" s="110" t="str">
        <f t="shared" si="14"/>
        <v/>
      </c>
      <c r="Y40" s="103" t="str">
        <f t="shared" si="15"/>
        <v/>
      </c>
      <c r="Z40" s="111"/>
      <c r="AA40" s="112"/>
      <c r="AB40" s="113" t="str">
        <f t="shared" si="16"/>
        <v>-</v>
      </c>
      <c r="AC40" s="112"/>
      <c r="AD40" s="114"/>
      <c r="AE40" s="115"/>
      <c r="AF40" s="115"/>
      <c r="AG40" s="116"/>
      <c r="AH40" s="117"/>
      <c r="AI40" s="117"/>
      <c r="AJ40" s="342"/>
      <c r="AK40" s="343"/>
      <c r="AL40" s="346"/>
      <c r="AM40" s="347"/>
      <c r="AN40" s="118"/>
      <c r="AO40" s="101" t="str">
        <f t="shared" si="19"/>
        <v/>
      </c>
      <c r="AP40" s="113" t="str">
        <f t="shared" si="20"/>
        <v>-</v>
      </c>
      <c r="AQ40" s="119"/>
      <c r="AR40" s="103" t="str">
        <f t="shared" si="21"/>
        <v/>
      </c>
      <c r="AT40" s="38" t="str">
        <f t="shared" si="17"/>
        <v>W0</v>
      </c>
      <c r="AU40" s="38">
        <f t="shared" si="18"/>
        <v>0</v>
      </c>
      <c r="AY40" s="38" t="str">
        <f t="shared" si="1"/>
        <v/>
      </c>
      <c r="AZ40" s="38" t="str">
        <f t="shared" si="2"/>
        <v>0</v>
      </c>
      <c r="BA40" s="38" t="str">
        <f t="shared" si="3"/>
        <v>0</v>
      </c>
      <c r="BB40" s="38" t="str">
        <f t="shared" si="4"/>
        <v>0</v>
      </c>
      <c r="BC40" s="38">
        <f t="shared" si="5"/>
        <v>0</v>
      </c>
      <c r="BD40" s="38">
        <f t="shared" si="6"/>
        <v>0</v>
      </c>
      <c r="BL40" s="38" t="str">
        <f t="shared" si="7"/>
        <v/>
      </c>
      <c r="BM40" s="38" t="str">
        <f t="shared" si="8"/>
        <v/>
      </c>
      <c r="BN40" s="38" t="str">
        <f t="shared" si="9"/>
        <v/>
      </c>
      <c r="BO40" s="38" t="str">
        <f t="shared" si="10"/>
        <v/>
      </c>
      <c r="BP40" s="38" t="str">
        <f t="shared" si="11"/>
        <v/>
      </c>
      <c r="BQ40" s="38" t="str">
        <f t="shared" si="12"/>
        <v/>
      </c>
    </row>
    <row r="41" spans="1:69" ht="16.2" thickBot="1" x14ac:dyDescent="0.35">
      <c r="A41" s="71" t="s">
        <v>67</v>
      </c>
      <c r="B41" s="72"/>
      <c r="C41" s="72"/>
      <c r="D41" s="72"/>
      <c r="E41" s="72"/>
      <c r="F41" s="72"/>
      <c r="G41" s="72"/>
      <c r="I41" s="399">
        <f>HLOOKUP(F27,spelerslijsten!B1:H25,25,FALSE)</f>
        <v>5</v>
      </c>
      <c r="J41" s="400"/>
      <c r="K41" s="74" t="s">
        <v>23</v>
      </c>
      <c r="L41" s="72"/>
      <c r="M41" s="72"/>
      <c r="N41" s="129" t="str">
        <f>HLOOKUP(F27,spelerslijsten!B1:H25,23,FALSE)</f>
        <v>Luuk Muskens</v>
      </c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130"/>
      <c r="Z41" s="131"/>
      <c r="AA41" s="132"/>
      <c r="AB41" s="133" t="str">
        <f t="shared" si="16"/>
        <v>-</v>
      </c>
      <c r="AC41" s="132"/>
      <c r="AD41" s="134"/>
      <c r="AE41" s="135"/>
      <c r="AF41" s="135"/>
      <c r="AG41" s="136"/>
      <c r="AH41" s="137"/>
      <c r="AI41" s="137"/>
      <c r="AJ41" s="342"/>
      <c r="AK41" s="343"/>
      <c r="AL41" s="350"/>
      <c r="AM41" s="351"/>
      <c r="AN41" s="138"/>
      <c r="AO41" s="101" t="str">
        <f t="shared" si="19"/>
        <v/>
      </c>
      <c r="AP41" s="113" t="str">
        <f t="shared" si="20"/>
        <v>-</v>
      </c>
      <c r="AQ41" s="119"/>
      <c r="AR41" s="103" t="str">
        <f t="shared" si="21"/>
        <v/>
      </c>
      <c r="AY41" s="38" t="str">
        <f t="shared" si="1"/>
        <v/>
      </c>
      <c r="AZ41" s="38" t="str">
        <f t="shared" si="2"/>
        <v>0</v>
      </c>
      <c r="BA41" s="38" t="str">
        <f t="shared" si="3"/>
        <v>0</v>
      </c>
      <c r="BB41" s="38" t="str">
        <f t="shared" si="4"/>
        <v>0</v>
      </c>
      <c r="BC41" s="38">
        <f t="shared" si="5"/>
        <v>0</v>
      </c>
      <c r="BD41" s="38">
        <f t="shared" si="6"/>
        <v>0</v>
      </c>
      <c r="BL41" s="38" t="str">
        <f t="shared" si="7"/>
        <v/>
      </c>
      <c r="BM41" s="38" t="str">
        <f t="shared" si="8"/>
        <v/>
      </c>
      <c r="BN41" s="38" t="str">
        <f t="shared" si="9"/>
        <v/>
      </c>
      <c r="BO41" s="38" t="str">
        <f t="shared" si="10"/>
        <v/>
      </c>
      <c r="BP41" s="38" t="str">
        <f t="shared" si="11"/>
        <v/>
      </c>
      <c r="BQ41" s="38" t="str">
        <f t="shared" si="12"/>
        <v/>
      </c>
    </row>
    <row r="42" spans="1:69" ht="15" customHeight="1" x14ac:dyDescent="0.3">
      <c r="A42" s="78" t="s">
        <v>60</v>
      </c>
      <c r="B42" s="79"/>
      <c r="C42" s="79"/>
      <c r="D42" s="79"/>
      <c r="E42" s="79"/>
      <c r="F42" s="356" t="str">
        <f>+AC24</f>
        <v>De Tubanten 1</v>
      </c>
      <c r="G42" s="356"/>
      <c r="H42" s="356"/>
      <c r="I42" s="356"/>
      <c r="J42" s="356"/>
      <c r="K42" s="356"/>
      <c r="L42" s="356"/>
      <c r="M42" s="356"/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7"/>
      <c r="Z42" s="139"/>
      <c r="AA42" s="140"/>
      <c r="AB42" s="141" t="str">
        <f t="shared" si="16"/>
        <v>-</v>
      </c>
      <c r="AC42" s="140"/>
      <c r="AD42" s="142"/>
      <c r="AE42" s="143"/>
      <c r="AF42" s="143"/>
      <c r="AG42" s="144"/>
      <c r="AH42" s="145"/>
      <c r="AI42" s="145"/>
      <c r="AJ42" s="342"/>
      <c r="AK42" s="343"/>
      <c r="AL42" s="346"/>
      <c r="AM42" s="347"/>
      <c r="AN42" s="146"/>
      <c r="AO42" s="101" t="str">
        <f t="shared" si="19"/>
        <v/>
      </c>
      <c r="AP42" s="113" t="str">
        <f t="shared" si="20"/>
        <v>-</v>
      </c>
      <c r="AQ42" s="119"/>
      <c r="AR42" s="103" t="str">
        <f t="shared" si="21"/>
        <v/>
      </c>
      <c r="AY42" s="38" t="str">
        <f t="shared" si="1"/>
        <v/>
      </c>
      <c r="AZ42" s="38" t="str">
        <f t="shared" si="2"/>
        <v>0</v>
      </c>
      <c r="BA42" s="38" t="str">
        <f t="shared" si="3"/>
        <v>0</v>
      </c>
      <c r="BB42" s="38" t="str">
        <f t="shared" si="4"/>
        <v>0</v>
      </c>
      <c r="BC42" s="38">
        <f t="shared" si="5"/>
        <v>0</v>
      </c>
      <c r="BD42" s="38">
        <f t="shared" si="6"/>
        <v>0</v>
      </c>
      <c r="BL42" s="38" t="str">
        <f t="shared" si="7"/>
        <v/>
      </c>
      <c r="BM42" s="38" t="str">
        <f t="shared" si="8"/>
        <v/>
      </c>
      <c r="BN42" s="38" t="str">
        <f t="shared" si="9"/>
        <v/>
      </c>
      <c r="BO42" s="38" t="str">
        <f t="shared" si="10"/>
        <v/>
      </c>
      <c r="BP42" s="38" t="str">
        <f t="shared" si="11"/>
        <v/>
      </c>
      <c r="BQ42" s="38" t="str">
        <f t="shared" si="12"/>
        <v/>
      </c>
    </row>
    <row r="43" spans="1:69" ht="15" customHeight="1" x14ac:dyDescent="0.3">
      <c r="A43" s="393" t="s">
        <v>24</v>
      </c>
      <c r="B43" s="394"/>
      <c r="C43" s="394"/>
      <c r="D43" s="394"/>
      <c r="E43" s="81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9"/>
      <c r="Z43" s="139"/>
      <c r="AA43" s="140"/>
      <c r="AB43" s="141" t="s">
        <v>16</v>
      </c>
      <c r="AC43" s="140"/>
      <c r="AD43" s="142"/>
      <c r="AE43" s="143"/>
      <c r="AF43" s="143"/>
      <c r="AG43" s="144"/>
      <c r="AH43" s="145"/>
      <c r="AI43" s="145"/>
      <c r="AJ43" s="342"/>
      <c r="AK43" s="343"/>
      <c r="AL43" s="346"/>
      <c r="AM43" s="347"/>
      <c r="AN43" s="146"/>
      <c r="AO43" s="101" t="str">
        <f t="shared" si="19"/>
        <v/>
      </c>
      <c r="AP43" s="113" t="str">
        <f t="shared" si="20"/>
        <v>-</v>
      </c>
      <c r="AQ43" s="119"/>
      <c r="AR43" s="103" t="str">
        <f t="shared" si="21"/>
        <v/>
      </c>
      <c r="AY43" s="38" t="str">
        <f t="shared" si="1"/>
        <v/>
      </c>
      <c r="AZ43" s="38" t="str">
        <f t="shared" si="2"/>
        <v>0</v>
      </c>
      <c r="BA43" s="38" t="str">
        <f t="shared" si="3"/>
        <v>0</v>
      </c>
      <c r="BB43" s="38" t="str">
        <f t="shared" si="4"/>
        <v>0</v>
      </c>
      <c r="BC43" s="38">
        <f t="shared" si="5"/>
        <v>0</v>
      </c>
      <c r="BD43" s="38">
        <f t="shared" si="6"/>
        <v>0</v>
      </c>
      <c r="BL43" s="38" t="str">
        <f t="shared" si="7"/>
        <v/>
      </c>
      <c r="BM43" s="38" t="str">
        <f t="shared" si="8"/>
        <v/>
      </c>
      <c r="BN43" s="38" t="str">
        <f t="shared" si="9"/>
        <v/>
      </c>
      <c r="BO43" s="38" t="str">
        <f t="shared" si="10"/>
        <v/>
      </c>
      <c r="BP43" s="38" t="str">
        <f t="shared" si="11"/>
        <v/>
      </c>
      <c r="BQ43" s="38" t="str">
        <f t="shared" si="12"/>
        <v/>
      </c>
    </row>
    <row r="44" spans="1:69" ht="15.6" x14ac:dyDescent="0.3">
      <c r="A44" s="393"/>
      <c r="B44" s="394"/>
      <c r="C44" s="394"/>
      <c r="D44" s="394"/>
      <c r="E44" s="81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9"/>
      <c r="Z44" s="139"/>
      <c r="AA44" s="140"/>
      <c r="AB44" s="141" t="s">
        <v>16</v>
      </c>
      <c r="AC44" s="140"/>
      <c r="AD44" s="142"/>
      <c r="AE44" s="143"/>
      <c r="AF44" s="143"/>
      <c r="AG44" s="144"/>
      <c r="AH44" s="145"/>
      <c r="AI44" s="145"/>
      <c r="AJ44" s="342"/>
      <c r="AK44" s="343"/>
      <c r="AL44" s="346"/>
      <c r="AM44" s="347"/>
      <c r="AN44" s="146"/>
      <c r="AO44" s="101" t="str">
        <f t="shared" si="19"/>
        <v/>
      </c>
      <c r="AP44" s="113" t="str">
        <f t="shared" si="20"/>
        <v>-</v>
      </c>
      <c r="AQ44" s="119"/>
      <c r="AR44" s="103" t="str">
        <f t="shared" si="21"/>
        <v/>
      </c>
      <c r="AY44" s="38" t="str">
        <f t="shared" si="1"/>
        <v/>
      </c>
      <c r="AZ44" s="38" t="str">
        <f t="shared" si="2"/>
        <v>0</v>
      </c>
      <c r="BA44" s="38" t="str">
        <f t="shared" si="3"/>
        <v>0</v>
      </c>
      <c r="BB44" s="38" t="str">
        <f t="shared" si="4"/>
        <v>0</v>
      </c>
      <c r="BC44" s="38">
        <f t="shared" si="5"/>
        <v>0</v>
      </c>
      <c r="BD44" s="38">
        <f t="shared" si="6"/>
        <v>0</v>
      </c>
      <c r="BL44" s="38" t="str">
        <f t="shared" si="7"/>
        <v/>
      </c>
      <c r="BM44" s="38" t="str">
        <f t="shared" si="8"/>
        <v/>
      </c>
      <c r="BN44" s="38" t="str">
        <f t="shared" si="9"/>
        <v/>
      </c>
      <c r="BO44" s="38" t="str">
        <f t="shared" si="10"/>
        <v/>
      </c>
      <c r="BP44" s="38" t="str">
        <f t="shared" si="11"/>
        <v/>
      </c>
      <c r="BQ44" s="38" t="str">
        <f t="shared" si="12"/>
        <v/>
      </c>
    </row>
    <row r="45" spans="1:69" ht="15.6" x14ac:dyDescent="0.3">
      <c r="A45" s="395"/>
      <c r="B45" s="396"/>
      <c r="C45" s="396"/>
      <c r="D45" s="396"/>
      <c r="E45" s="81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60"/>
      <c r="X45" s="360"/>
      <c r="Y45" s="361"/>
      <c r="Z45" s="147"/>
      <c r="AA45" s="140"/>
      <c r="AB45" s="148" t="str">
        <f>+AB42</f>
        <v>-</v>
      </c>
      <c r="AC45" s="140"/>
      <c r="AD45" s="142"/>
      <c r="AE45" s="143"/>
      <c r="AF45" s="143"/>
      <c r="AG45" s="144"/>
      <c r="AH45" s="145"/>
      <c r="AI45" s="145"/>
      <c r="AJ45" s="342"/>
      <c r="AK45" s="343"/>
      <c r="AL45" s="346"/>
      <c r="AM45" s="347"/>
      <c r="AN45" s="146"/>
      <c r="AO45" s="101" t="str">
        <f t="shared" si="19"/>
        <v/>
      </c>
      <c r="AP45" s="113" t="str">
        <f t="shared" si="20"/>
        <v>-</v>
      </c>
      <c r="AQ45" s="119"/>
      <c r="AR45" s="103" t="str">
        <f t="shared" si="21"/>
        <v/>
      </c>
      <c r="AY45" s="38" t="str">
        <f t="shared" si="1"/>
        <v/>
      </c>
      <c r="AZ45" s="38" t="str">
        <f t="shared" si="2"/>
        <v>0</v>
      </c>
      <c r="BA45" s="38" t="str">
        <f t="shared" si="3"/>
        <v>0</v>
      </c>
      <c r="BB45" s="38" t="str">
        <f t="shared" si="4"/>
        <v>0</v>
      </c>
      <c r="BC45" s="38">
        <f t="shared" si="5"/>
        <v>0</v>
      </c>
      <c r="BD45" s="38">
        <f t="shared" si="6"/>
        <v>0</v>
      </c>
      <c r="BL45" s="38" t="str">
        <f t="shared" si="7"/>
        <v/>
      </c>
      <c r="BM45" s="38" t="str">
        <f t="shared" si="8"/>
        <v/>
      </c>
      <c r="BN45" s="38" t="str">
        <f t="shared" si="9"/>
        <v/>
      </c>
      <c r="BO45" s="38" t="str">
        <f t="shared" si="10"/>
        <v/>
      </c>
      <c r="BP45" s="38" t="str">
        <f t="shared" si="11"/>
        <v/>
      </c>
      <c r="BQ45" s="38" t="str">
        <f t="shared" si="12"/>
        <v/>
      </c>
    </row>
    <row r="46" spans="1:69" ht="15.6" x14ac:dyDescent="0.3">
      <c r="A46" s="86" t="s">
        <v>0</v>
      </c>
      <c r="B46" s="87" t="s">
        <v>1</v>
      </c>
      <c r="C46" s="64"/>
      <c r="D46" s="89"/>
      <c r="E46" s="88" t="s">
        <v>2</v>
      </c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90"/>
      <c r="V46" s="91" t="s">
        <v>3</v>
      </c>
      <c r="W46" s="91" t="s">
        <v>4</v>
      </c>
      <c r="X46" s="91" t="s">
        <v>5</v>
      </c>
      <c r="Y46" s="92" t="s">
        <v>6</v>
      </c>
      <c r="Z46" s="111"/>
      <c r="AA46" s="149"/>
      <c r="AB46" s="150" t="str">
        <f t="shared" si="16"/>
        <v>-</v>
      </c>
      <c r="AC46" s="149"/>
      <c r="AD46" s="151"/>
      <c r="AE46" s="152"/>
      <c r="AF46" s="152"/>
      <c r="AG46" s="153"/>
      <c r="AH46" s="154"/>
      <c r="AI46" s="154"/>
      <c r="AJ46" s="342"/>
      <c r="AK46" s="343"/>
      <c r="AL46" s="348"/>
      <c r="AM46" s="349"/>
      <c r="AN46" s="155"/>
      <c r="AO46" s="101" t="str">
        <f t="shared" si="19"/>
        <v/>
      </c>
      <c r="AP46" s="113" t="str">
        <f t="shared" si="20"/>
        <v>-</v>
      </c>
      <c r="AQ46" s="119"/>
      <c r="AR46" s="103" t="str">
        <f t="shared" si="21"/>
        <v/>
      </c>
      <c r="AY46" s="38" t="str">
        <f t="shared" si="1"/>
        <v/>
      </c>
      <c r="AZ46" s="38" t="str">
        <f t="shared" si="2"/>
        <v>0</v>
      </c>
      <c r="BA46" s="38" t="str">
        <f t="shared" si="3"/>
        <v>0</v>
      </c>
      <c r="BB46" s="38" t="str">
        <f t="shared" si="4"/>
        <v>0</v>
      </c>
      <c r="BC46" s="38">
        <f t="shared" si="5"/>
        <v>0</v>
      </c>
      <c r="BD46" s="38">
        <f t="shared" si="6"/>
        <v>0</v>
      </c>
      <c r="BL46" s="38" t="str">
        <f t="shared" si="7"/>
        <v/>
      </c>
      <c r="BM46" s="38" t="str">
        <f t="shared" si="8"/>
        <v/>
      </c>
      <c r="BN46" s="38" t="str">
        <f t="shared" si="9"/>
        <v/>
      </c>
      <c r="BO46" s="38" t="str">
        <f t="shared" si="10"/>
        <v/>
      </c>
      <c r="BP46" s="38" t="str">
        <f t="shared" si="11"/>
        <v/>
      </c>
      <c r="BQ46" s="38" t="str">
        <f t="shared" si="12"/>
        <v/>
      </c>
    </row>
    <row r="47" spans="1:69" ht="15.6" x14ac:dyDescent="0.3">
      <c r="A47" s="104"/>
      <c r="B47" s="397" t="e">
        <f>HLOOKUP($F$42,spelerslijsten!$B$1:$H$25,4,FALSE)</f>
        <v>#N/A</v>
      </c>
      <c r="C47" s="398"/>
      <c r="D47" s="105"/>
      <c r="E47" s="156" t="e">
        <f>HLOOKUP($F$42,spelerslijsten!$B$1:$H$25,3,FALSE)</f>
        <v>#N/A</v>
      </c>
      <c r="F47" s="105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8">
        <f t="shared" ref="V47:V56" si="23">SUMIF($AY$30:$AY$63,AT47,$BC$30:$BC$63)</f>
        <v>0</v>
      </c>
      <c r="W47" s="109" t="str">
        <f>IF(AU47&gt;0,"x","")</f>
        <v/>
      </c>
      <c r="X47" s="110" t="str">
        <f>IF(AU47&gt;1,"x","")</f>
        <v/>
      </c>
      <c r="Y47" s="103" t="str">
        <f>IF(AU47&gt;2,"x","")</f>
        <v/>
      </c>
      <c r="Z47" s="111"/>
      <c r="AA47" s="112"/>
      <c r="AB47" s="113" t="str">
        <f t="shared" si="16"/>
        <v>-</v>
      </c>
      <c r="AC47" s="112"/>
      <c r="AD47" s="114"/>
      <c r="AE47" s="115"/>
      <c r="AF47" s="115"/>
      <c r="AG47" s="116"/>
      <c r="AH47" s="117"/>
      <c r="AI47" s="117"/>
      <c r="AJ47" s="342"/>
      <c r="AK47" s="343"/>
      <c r="AL47" s="346"/>
      <c r="AM47" s="347"/>
      <c r="AN47" s="118"/>
      <c r="AO47" s="101" t="str">
        <f t="shared" si="19"/>
        <v/>
      </c>
      <c r="AP47" s="113" t="str">
        <f t="shared" si="20"/>
        <v>-</v>
      </c>
      <c r="AQ47" s="119"/>
      <c r="AR47" s="103" t="str">
        <f t="shared" si="21"/>
        <v/>
      </c>
      <c r="AT47" s="38" t="e">
        <f>CONCATENATE($AV$28&amp;B47)</f>
        <v>#N/A</v>
      </c>
      <c r="AU47" s="38">
        <f t="shared" si="18"/>
        <v>0</v>
      </c>
      <c r="AY47" s="38" t="str">
        <f t="shared" si="1"/>
        <v/>
      </c>
      <c r="AZ47" s="38" t="str">
        <f t="shared" si="2"/>
        <v>0</v>
      </c>
      <c r="BA47" s="38" t="str">
        <f t="shared" si="3"/>
        <v>0</v>
      </c>
      <c r="BB47" s="38" t="str">
        <f t="shared" si="4"/>
        <v>0</v>
      </c>
      <c r="BC47" s="38">
        <f t="shared" si="5"/>
        <v>0</v>
      </c>
      <c r="BD47" s="38">
        <f t="shared" si="6"/>
        <v>0</v>
      </c>
      <c r="BL47" s="38" t="str">
        <f t="shared" si="7"/>
        <v/>
      </c>
      <c r="BM47" s="38" t="str">
        <f t="shared" si="8"/>
        <v/>
      </c>
      <c r="BN47" s="38" t="str">
        <f t="shared" si="9"/>
        <v/>
      </c>
      <c r="BO47" s="38" t="str">
        <f t="shared" si="10"/>
        <v/>
      </c>
      <c r="BP47" s="38" t="str">
        <f t="shared" si="11"/>
        <v/>
      </c>
      <c r="BQ47" s="38" t="str">
        <f t="shared" si="12"/>
        <v/>
      </c>
    </row>
    <row r="48" spans="1:69" ht="15.6" x14ac:dyDescent="0.3">
      <c r="A48" s="120"/>
      <c r="B48" s="397" t="e">
        <f>HLOOKUP($F$42,spelerslijsten!$B$1:$H$25,6,FALSE)</f>
        <v>#N/A</v>
      </c>
      <c r="C48" s="398"/>
      <c r="D48" s="121"/>
      <c r="E48" s="121" t="e">
        <f>HLOOKUP($F$42,spelerslijsten!$B$1:$H$25,5,FALSE)</f>
        <v>#N/A</v>
      </c>
      <c r="F48" s="121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08">
        <f t="shared" si="23"/>
        <v>0</v>
      </c>
      <c r="W48" s="109" t="str">
        <f t="shared" ref="W48:W56" si="24">IF(AU48&gt;0,"x","")</f>
        <v/>
      </c>
      <c r="X48" s="110" t="str">
        <f t="shared" ref="X48:X56" si="25">IF(AU48&gt;1,"x","")</f>
        <v/>
      </c>
      <c r="Y48" s="103" t="str">
        <f t="shared" ref="Y48:Y56" si="26">IF(AU48&gt;2,"x","")</f>
        <v/>
      </c>
      <c r="Z48" s="111"/>
      <c r="AA48" s="112"/>
      <c r="AB48" s="113" t="str">
        <f t="shared" si="16"/>
        <v>-</v>
      </c>
      <c r="AC48" s="112"/>
      <c r="AD48" s="114"/>
      <c r="AE48" s="115"/>
      <c r="AF48" s="115"/>
      <c r="AG48" s="116"/>
      <c r="AH48" s="117"/>
      <c r="AI48" s="117"/>
      <c r="AJ48" s="342"/>
      <c r="AK48" s="343"/>
      <c r="AL48" s="346"/>
      <c r="AM48" s="347"/>
      <c r="AN48" s="118"/>
      <c r="AO48" s="101" t="str">
        <f t="shared" si="19"/>
        <v/>
      </c>
      <c r="AP48" s="113" t="str">
        <f t="shared" si="20"/>
        <v>-</v>
      </c>
      <c r="AQ48" s="119"/>
      <c r="AR48" s="103" t="str">
        <f t="shared" si="21"/>
        <v/>
      </c>
      <c r="AT48" s="38" t="e">
        <f t="shared" ref="AT48:AT56" si="27">CONCATENATE($AV$28&amp;B48)</f>
        <v>#N/A</v>
      </c>
      <c r="AU48" s="38">
        <f t="shared" si="18"/>
        <v>0</v>
      </c>
      <c r="AY48" s="38" t="str">
        <f t="shared" si="1"/>
        <v/>
      </c>
      <c r="AZ48" s="38" t="str">
        <f t="shared" si="2"/>
        <v>0</v>
      </c>
      <c r="BA48" s="38" t="str">
        <f t="shared" si="3"/>
        <v>0</v>
      </c>
      <c r="BB48" s="38" t="str">
        <f t="shared" si="4"/>
        <v>0</v>
      </c>
      <c r="BC48" s="38">
        <f t="shared" si="5"/>
        <v>0</v>
      </c>
      <c r="BD48" s="38">
        <f t="shared" si="6"/>
        <v>0</v>
      </c>
      <c r="BL48" s="38" t="str">
        <f t="shared" si="7"/>
        <v/>
      </c>
      <c r="BM48" s="38" t="str">
        <f t="shared" si="8"/>
        <v/>
      </c>
      <c r="BN48" s="38" t="str">
        <f t="shared" si="9"/>
        <v/>
      </c>
      <c r="BO48" s="38" t="str">
        <f t="shared" si="10"/>
        <v/>
      </c>
      <c r="BP48" s="38" t="str">
        <f t="shared" si="11"/>
        <v/>
      </c>
      <c r="BQ48" s="38" t="str">
        <f t="shared" si="12"/>
        <v/>
      </c>
    </row>
    <row r="49" spans="1:69" ht="15.6" x14ac:dyDescent="0.3">
      <c r="A49" s="124"/>
      <c r="B49" s="397" t="e">
        <f>HLOOKUP($F$42,spelerslijsten!$B$1:$H$25,8,FALSE)</f>
        <v>#N/A</v>
      </c>
      <c r="C49" s="398"/>
      <c r="D49" s="121"/>
      <c r="E49" s="121" t="e">
        <f>HLOOKUP($F$42,spelerslijsten!$B$1:$H$25,7,FALSE)</f>
        <v>#N/A</v>
      </c>
      <c r="F49" s="121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08">
        <f t="shared" si="23"/>
        <v>0</v>
      </c>
      <c r="W49" s="109" t="str">
        <f t="shared" si="24"/>
        <v/>
      </c>
      <c r="X49" s="110" t="str">
        <f t="shared" si="25"/>
        <v/>
      </c>
      <c r="Y49" s="103" t="str">
        <f t="shared" si="26"/>
        <v/>
      </c>
      <c r="Z49" s="111"/>
      <c r="AA49" s="112"/>
      <c r="AB49" s="113" t="str">
        <f t="shared" si="16"/>
        <v>-</v>
      </c>
      <c r="AC49" s="112"/>
      <c r="AD49" s="114"/>
      <c r="AE49" s="115"/>
      <c r="AF49" s="115"/>
      <c r="AG49" s="116"/>
      <c r="AH49" s="117"/>
      <c r="AI49" s="117"/>
      <c r="AJ49" s="342"/>
      <c r="AK49" s="343"/>
      <c r="AL49" s="346"/>
      <c r="AM49" s="347"/>
      <c r="AN49" s="118"/>
      <c r="AO49" s="101" t="str">
        <f t="shared" si="19"/>
        <v/>
      </c>
      <c r="AP49" s="113" t="str">
        <f t="shared" si="20"/>
        <v>-</v>
      </c>
      <c r="AQ49" s="119"/>
      <c r="AR49" s="103" t="str">
        <f t="shared" si="21"/>
        <v/>
      </c>
      <c r="AT49" s="38" t="e">
        <f t="shared" si="27"/>
        <v>#N/A</v>
      </c>
      <c r="AU49" s="38">
        <f t="shared" si="18"/>
        <v>0</v>
      </c>
      <c r="AY49" s="38" t="str">
        <f t="shared" si="1"/>
        <v/>
      </c>
      <c r="AZ49" s="38" t="str">
        <f t="shared" si="2"/>
        <v>0</v>
      </c>
      <c r="BA49" s="38" t="str">
        <f t="shared" si="3"/>
        <v>0</v>
      </c>
      <c r="BB49" s="38" t="str">
        <f t="shared" si="4"/>
        <v>0</v>
      </c>
      <c r="BC49" s="38">
        <f t="shared" si="5"/>
        <v>0</v>
      </c>
      <c r="BD49" s="38">
        <f t="shared" si="6"/>
        <v>0</v>
      </c>
      <c r="BL49" s="38" t="str">
        <f t="shared" si="7"/>
        <v/>
      </c>
      <c r="BM49" s="38" t="str">
        <f t="shared" si="8"/>
        <v/>
      </c>
      <c r="BN49" s="38" t="str">
        <f t="shared" si="9"/>
        <v/>
      </c>
      <c r="BO49" s="38" t="str">
        <f t="shared" si="10"/>
        <v/>
      </c>
      <c r="BP49" s="38" t="str">
        <f t="shared" si="11"/>
        <v/>
      </c>
      <c r="BQ49" s="38" t="str">
        <f t="shared" si="12"/>
        <v/>
      </c>
    </row>
    <row r="50" spans="1:69" ht="15.6" x14ac:dyDescent="0.3">
      <c r="A50" s="124"/>
      <c r="B50" s="397" t="e">
        <f>HLOOKUP($F$42,spelerslijsten!$B$1:$H$25,10,FALSE)</f>
        <v>#N/A</v>
      </c>
      <c r="C50" s="398"/>
      <c r="D50" s="121"/>
      <c r="E50" s="121" t="e">
        <f>HLOOKUP($F$42,spelerslijsten!$B$1:$H$25,9,FALSE)</f>
        <v>#N/A</v>
      </c>
      <c r="F50" s="121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08">
        <f t="shared" si="23"/>
        <v>0</v>
      </c>
      <c r="W50" s="109" t="str">
        <f t="shared" si="24"/>
        <v/>
      </c>
      <c r="X50" s="110" t="str">
        <f t="shared" si="25"/>
        <v/>
      </c>
      <c r="Y50" s="103" t="str">
        <f t="shared" si="26"/>
        <v/>
      </c>
      <c r="Z50" s="111"/>
      <c r="AA50" s="112"/>
      <c r="AB50" s="113" t="str">
        <f t="shared" si="16"/>
        <v>-</v>
      </c>
      <c r="AC50" s="112"/>
      <c r="AD50" s="114"/>
      <c r="AE50" s="115"/>
      <c r="AF50" s="115"/>
      <c r="AG50" s="116"/>
      <c r="AH50" s="117"/>
      <c r="AI50" s="117"/>
      <c r="AJ50" s="342"/>
      <c r="AK50" s="343"/>
      <c r="AL50" s="346"/>
      <c r="AM50" s="347"/>
      <c r="AN50" s="118"/>
      <c r="AO50" s="101" t="str">
        <f t="shared" si="19"/>
        <v/>
      </c>
      <c r="AP50" s="113" t="str">
        <f t="shared" si="20"/>
        <v>-</v>
      </c>
      <c r="AQ50" s="119"/>
      <c r="AR50" s="103" t="str">
        <f t="shared" si="21"/>
        <v/>
      </c>
      <c r="AT50" s="38" t="e">
        <f t="shared" si="27"/>
        <v>#N/A</v>
      </c>
      <c r="AU50" s="38">
        <f t="shared" si="18"/>
        <v>0</v>
      </c>
      <c r="AY50" s="38" t="str">
        <f t="shared" si="1"/>
        <v/>
      </c>
      <c r="AZ50" s="38" t="str">
        <f t="shared" si="2"/>
        <v>0</v>
      </c>
      <c r="BA50" s="38" t="str">
        <f t="shared" si="3"/>
        <v>0</v>
      </c>
      <c r="BB50" s="38" t="str">
        <f t="shared" si="4"/>
        <v>0</v>
      </c>
      <c r="BC50" s="38">
        <f t="shared" si="5"/>
        <v>0</v>
      </c>
      <c r="BD50" s="38">
        <f t="shared" si="6"/>
        <v>0</v>
      </c>
      <c r="BL50" s="38" t="str">
        <f t="shared" si="7"/>
        <v/>
      </c>
      <c r="BM50" s="38" t="str">
        <f t="shared" si="8"/>
        <v/>
      </c>
      <c r="BN50" s="38" t="str">
        <f t="shared" si="9"/>
        <v/>
      </c>
      <c r="BO50" s="38" t="str">
        <f t="shared" si="10"/>
        <v/>
      </c>
      <c r="BP50" s="38" t="str">
        <f t="shared" si="11"/>
        <v/>
      </c>
      <c r="BQ50" s="38" t="str">
        <f t="shared" si="12"/>
        <v/>
      </c>
    </row>
    <row r="51" spans="1:69" ht="15.6" x14ac:dyDescent="0.3">
      <c r="A51" s="124"/>
      <c r="B51" s="397" t="e">
        <f>HLOOKUP($F$42,spelerslijsten!$B$1:$H$25,12,FALSE)</f>
        <v>#N/A</v>
      </c>
      <c r="C51" s="398"/>
      <c r="D51" s="121"/>
      <c r="E51" s="121" t="e">
        <f>HLOOKUP($F$42,spelerslijsten!$B$1:$H$25,11,FALSE)</f>
        <v>#N/A</v>
      </c>
      <c r="F51" s="121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08">
        <f t="shared" si="23"/>
        <v>0</v>
      </c>
      <c r="W51" s="109" t="str">
        <f t="shared" si="24"/>
        <v/>
      </c>
      <c r="X51" s="110" t="str">
        <f t="shared" si="25"/>
        <v/>
      </c>
      <c r="Y51" s="103" t="str">
        <f t="shared" si="26"/>
        <v/>
      </c>
      <c r="Z51" s="111"/>
      <c r="AA51" s="112"/>
      <c r="AB51" s="113" t="str">
        <f t="shared" si="16"/>
        <v>-</v>
      </c>
      <c r="AC51" s="112"/>
      <c r="AD51" s="114"/>
      <c r="AE51" s="115"/>
      <c r="AF51" s="115"/>
      <c r="AG51" s="116"/>
      <c r="AH51" s="117"/>
      <c r="AI51" s="117"/>
      <c r="AJ51" s="342"/>
      <c r="AK51" s="343"/>
      <c r="AL51" s="346"/>
      <c r="AM51" s="347"/>
      <c r="AN51" s="118"/>
      <c r="AO51" s="101" t="str">
        <f t="shared" si="19"/>
        <v/>
      </c>
      <c r="AP51" s="113" t="str">
        <f t="shared" si="20"/>
        <v>-</v>
      </c>
      <c r="AQ51" s="119"/>
      <c r="AR51" s="103" t="str">
        <f t="shared" si="21"/>
        <v/>
      </c>
      <c r="AT51" s="38" t="e">
        <f t="shared" si="27"/>
        <v>#N/A</v>
      </c>
      <c r="AU51" s="38">
        <f t="shared" si="18"/>
        <v>0</v>
      </c>
      <c r="AY51" s="38" t="str">
        <f t="shared" si="1"/>
        <v/>
      </c>
      <c r="AZ51" s="38" t="str">
        <f t="shared" si="2"/>
        <v>0</v>
      </c>
      <c r="BA51" s="38" t="str">
        <f t="shared" si="3"/>
        <v>0</v>
      </c>
      <c r="BB51" s="38" t="str">
        <f t="shared" si="4"/>
        <v>0</v>
      </c>
      <c r="BC51" s="38">
        <f t="shared" si="5"/>
        <v>0</v>
      </c>
      <c r="BD51" s="38">
        <f t="shared" si="6"/>
        <v>0</v>
      </c>
      <c r="BL51" s="38" t="str">
        <f t="shared" si="7"/>
        <v/>
      </c>
      <c r="BM51" s="38" t="str">
        <f t="shared" si="8"/>
        <v/>
      </c>
      <c r="BN51" s="38" t="str">
        <f t="shared" si="9"/>
        <v/>
      </c>
      <c r="BO51" s="38" t="str">
        <f t="shared" si="10"/>
        <v/>
      </c>
      <c r="BP51" s="38" t="str">
        <f t="shared" si="11"/>
        <v/>
      </c>
      <c r="BQ51" s="38" t="str">
        <f t="shared" si="12"/>
        <v/>
      </c>
    </row>
    <row r="52" spans="1:69" ht="15.6" x14ac:dyDescent="0.3">
      <c r="A52" s="124"/>
      <c r="B52" s="397" t="e">
        <f>HLOOKUP($F$42,spelerslijsten!$B$1:$H$25,14,FALSE)</f>
        <v>#N/A</v>
      </c>
      <c r="C52" s="398"/>
      <c r="D52" s="121"/>
      <c r="E52" s="121" t="e">
        <f>HLOOKUP($F$42,spelerslijsten!$B$1:$H$25,13,FALSE)</f>
        <v>#N/A</v>
      </c>
      <c r="F52" s="121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08">
        <f t="shared" si="23"/>
        <v>0</v>
      </c>
      <c r="W52" s="109" t="str">
        <f t="shared" si="24"/>
        <v/>
      </c>
      <c r="X52" s="110" t="str">
        <f t="shared" si="25"/>
        <v/>
      </c>
      <c r="Y52" s="103" t="str">
        <f t="shared" si="26"/>
        <v/>
      </c>
      <c r="Z52" s="111"/>
      <c r="AA52" s="112"/>
      <c r="AB52" s="113" t="str">
        <f t="shared" si="16"/>
        <v>-</v>
      </c>
      <c r="AC52" s="112"/>
      <c r="AD52" s="114"/>
      <c r="AE52" s="115"/>
      <c r="AF52" s="115"/>
      <c r="AG52" s="116"/>
      <c r="AH52" s="117"/>
      <c r="AI52" s="117"/>
      <c r="AJ52" s="342"/>
      <c r="AK52" s="343"/>
      <c r="AL52" s="346"/>
      <c r="AM52" s="347"/>
      <c r="AN52" s="118"/>
      <c r="AO52" s="101" t="str">
        <f t="shared" si="19"/>
        <v/>
      </c>
      <c r="AP52" s="113" t="str">
        <f t="shared" si="20"/>
        <v>-</v>
      </c>
      <c r="AQ52" s="119"/>
      <c r="AR52" s="103" t="str">
        <f t="shared" si="21"/>
        <v/>
      </c>
      <c r="AT52" s="38" t="e">
        <f t="shared" si="27"/>
        <v>#N/A</v>
      </c>
      <c r="AU52" s="38">
        <f t="shared" si="18"/>
        <v>0</v>
      </c>
      <c r="AY52" s="38" t="str">
        <f t="shared" si="1"/>
        <v/>
      </c>
      <c r="AZ52" s="38" t="str">
        <f t="shared" si="2"/>
        <v>0</v>
      </c>
      <c r="BA52" s="38" t="str">
        <f t="shared" si="3"/>
        <v>0</v>
      </c>
      <c r="BB52" s="38" t="str">
        <f t="shared" si="4"/>
        <v>0</v>
      </c>
      <c r="BC52" s="38">
        <f t="shared" si="5"/>
        <v>0</v>
      </c>
      <c r="BD52" s="38">
        <f t="shared" si="6"/>
        <v>0</v>
      </c>
      <c r="BL52" s="38" t="str">
        <f t="shared" si="7"/>
        <v/>
      </c>
      <c r="BM52" s="38" t="str">
        <f t="shared" si="8"/>
        <v/>
      </c>
      <c r="BN52" s="38" t="str">
        <f t="shared" si="9"/>
        <v/>
      </c>
      <c r="BO52" s="38" t="str">
        <f t="shared" si="10"/>
        <v/>
      </c>
      <c r="BP52" s="38" t="str">
        <f t="shared" si="11"/>
        <v/>
      </c>
      <c r="BQ52" s="38" t="str">
        <f t="shared" si="12"/>
        <v/>
      </c>
    </row>
    <row r="53" spans="1:69" ht="15.6" x14ac:dyDescent="0.3">
      <c r="A53" s="124"/>
      <c r="B53" s="397" t="e">
        <f>HLOOKUP($F$42,spelerslijsten!$B$1:$H$25,16,FALSE)</f>
        <v>#N/A</v>
      </c>
      <c r="C53" s="398"/>
      <c r="D53" s="121"/>
      <c r="E53" s="121" t="e">
        <f>HLOOKUP($F$42,spelerslijsten!$B$1:$H$25,15,FALSE)</f>
        <v>#N/A</v>
      </c>
      <c r="F53" s="121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08">
        <f t="shared" si="23"/>
        <v>0</v>
      </c>
      <c r="W53" s="109" t="str">
        <f t="shared" si="24"/>
        <v/>
      </c>
      <c r="X53" s="110" t="str">
        <f t="shared" si="25"/>
        <v/>
      </c>
      <c r="Y53" s="103" t="str">
        <f t="shared" si="26"/>
        <v/>
      </c>
      <c r="Z53" s="111"/>
      <c r="AA53" s="112"/>
      <c r="AB53" s="113" t="str">
        <f t="shared" si="16"/>
        <v>-</v>
      </c>
      <c r="AC53" s="112"/>
      <c r="AD53" s="114"/>
      <c r="AE53" s="115"/>
      <c r="AF53" s="115"/>
      <c r="AG53" s="116"/>
      <c r="AH53" s="117"/>
      <c r="AI53" s="117"/>
      <c r="AJ53" s="342"/>
      <c r="AK53" s="343"/>
      <c r="AL53" s="346"/>
      <c r="AM53" s="347"/>
      <c r="AN53" s="118"/>
      <c r="AO53" s="101" t="str">
        <f t="shared" si="19"/>
        <v/>
      </c>
      <c r="AP53" s="113" t="str">
        <f t="shared" si="20"/>
        <v>-</v>
      </c>
      <c r="AQ53" s="119"/>
      <c r="AR53" s="103" t="str">
        <f t="shared" si="21"/>
        <v/>
      </c>
      <c r="AT53" s="38" t="e">
        <f t="shared" si="27"/>
        <v>#N/A</v>
      </c>
      <c r="AU53" s="38">
        <f t="shared" si="18"/>
        <v>0</v>
      </c>
      <c r="AY53" s="38" t="str">
        <f t="shared" si="1"/>
        <v/>
      </c>
      <c r="AZ53" s="38" t="str">
        <f t="shared" si="2"/>
        <v>0</v>
      </c>
      <c r="BA53" s="38" t="str">
        <f t="shared" si="3"/>
        <v>0</v>
      </c>
      <c r="BB53" s="38" t="str">
        <f t="shared" si="4"/>
        <v>0</v>
      </c>
      <c r="BC53" s="38">
        <f t="shared" si="5"/>
        <v>0</v>
      </c>
      <c r="BD53" s="38">
        <f t="shared" si="6"/>
        <v>0</v>
      </c>
      <c r="BL53" s="38" t="str">
        <f t="shared" si="7"/>
        <v/>
      </c>
      <c r="BM53" s="38" t="str">
        <f t="shared" si="8"/>
        <v/>
      </c>
      <c r="BN53" s="38" t="str">
        <f t="shared" si="9"/>
        <v/>
      </c>
      <c r="BO53" s="38" t="str">
        <f t="shared" si="10"/>
        <v/>
      </c>
      <c r="BP53" s="38" t="str">
        <f t="shared" si="11"/>
        <v/>
      </c>
      <c r="BQ53" s="38" t="str">
        <f t="shared" si="12"/>
        <v/>
      </c>
    </row>
    <row r="54" spans="1:69" ht="15.6" x14ac:dyDescent="0.3">
      <c r="A54" s="124"/>
      <c r="B54" s="397" t="e">
        <f>HLOOKUP($F$42,spelerslijsten!$B$1:$H$25,18,FALSE)</f>
        <v>#N/A</v>
      </c>
      <c r="C54" s="398"/>
      <c r="D54" s="121"/>
      <c r="E54" s="121" t="e">
        <f>HLOOKUP($F$42,spelerslijsten!$B$1:$H$25,17,FALSE)</f>
        <v>#N/A</v>
      </c>
      <c r="F54" s="121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08">
        <f t="shared" si="23"/>
        <v>0</v>
      </c>
      <c r="W54" s="109" t="str">
        <f t="shared" si="24"/>
        <v/>
      </c>
      <c r="X54" s="110" t="str">
        <f t="shared" si="25"/>
        <v/>
      </c>
      <c r="Y54" s="103" t="str">
        <f t="shared" si="26"/>
        <v/>
      </c>
      <c r="Z54" s="111"/>
      <c r="AA54" s="112"/>
      <c r="AB54" s="113" t="str">
        <f t="shared" si="16"/>
        <v>-</v>
      </c>
      <c r="AC54" s="112"/>
      <c r="AD54" s="114"/>
      <c r="AE54" s="115"/>
      <c r="AF54" s="115"/>
      <c r="AG54" s="116"/>
      <c r="AH54" s="117"/>
      <c r="AI54" s="117"/>
      <c r="AJ54" s="342"/>
      <c r="AK54" s="343"/>
      <c r="AL54" s="346"/>
      <c r="AM54" s="347"/>
      <c r="AN54" s="118"/>
      <c r="AO54" s="101" t="str">
        <f t="shared" si="19"/>
        <v/>
      </c>
      <c r="AP54" s="113" t="str">
        <f t="shared" si="20"/>
        <v>-</v>
      </c>
      <c r="AQ54" s="119"/>
      <c r="AR54" s="103" t="str">
        <f t="shared" si="21"/>
        <v/>
      </c>
      <c r="AT54" s="38" t="e">
        <f t="shared" si="27"/>
        <v>#N/A</v>
      </c>
      <c r="AU54" s="38">
        <f t="shared" si="18"/>
        <v>0</v>
      </c>
      <c r="AY54" s="38" t="str">
        <f t="shared" si="1"/>
        <v/>
      </c>
      <c r="AZ54" s="38" t="str">
        <f t="shared" si="2"/>
        <v>0</v>
      </c>
      <c r="BA54" s="38" t="str">
        <f t="shared" si="3"/>
        <v>0</v>
      </c>
      <c r="BB54" s="38" t="str">
        <f t="shared" si="4"/>
        <v>0</v>
      </c>
      <c r="BC54" s="38">
        <f t="shared" si="5"/>
        <v>0</v>
      </c>
      <c r="BD54" s="38">
        <f t="shared" si="6"/>
        <v>0</v>
      </c>
      <c r="BL54" s="38" t="str">
        <f t="shared" si="7"/>
        <v/>
      </c>
      <c r="BM54" s="38" t="str">
        <f t="shared" si="8"/>
        <v/>
      </c>
      <c r="BN54" s="38" t="str">
        <f t="shared" si="9"/>
        <v/>
      </c>
      <c r="BO54" s="38" t="str">
        <f t="shared" si="10"/>
        <v/>
      </c>
      <c r="BP54" s="38" t="str">
        <f t="shared" si="11"/>
        <v/>
      </c>
      <c r="BQ54" s="38" t="str">
        <f t="shared" si="12"/>
        <v/>
      </c>
    </row>
    <row r="55" spans="1:69" ht="15.6" x14ac:dyDescent="0.3">
      <c r="A55" s="124"/>
      <c r="B55" s="397" t="e">
        <f>HLOOKUP($F$42,spelerslijsten!$B$1:$H$25,20,FALSE)</f>
        <v>#N/A</v>
      </c>
      <c r="C55" s="398"/>
      <c r="D55" s="121"/>
      <c r="E55" s="121" t="e">
        <f>HLOOKUP($F$42,spelerslijsten!$B$1:$H$25,19,FALSE)</f>
        <v>#N/A</v>
      </c>
      <c r="F55" s="121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08">
        <f t="shared" si="23"/>
        <v>0</v>
      </c>
      <c r="W55" s="109" t="str">
        <f t="shared" si="24"/>
        <v/>
      </c>
      <c r="X55" s="110" t="str">
        <f t="shared" si="25"/>
        <v/>
      </c>
      <c r="Y55" s="103" t="str">
        <f t="shared" si="26"/>
        <v/>
      </c>
      <c r="Z55" s="111"/>
      <c r="AA55" s="112"/>
      <c r="AB55" s="113" t="str">
        <f t="shared" si="16"/>
        <v>-</v>
      </c>
      <c r="AC55" s="112"/>
      <c r="AD55" s="114"/>
      <c r="AE55" s="115"/>
      <c r="AF55" s="115"/>
      <c r="AG55" s="116"/>
      <c r="AH55" s="117"/>
      <c r="AI55" s="117"/>
      <c r="AJ55" s="342"/>
      <c r="AK55" s="343"/>
      <c r="AL55" s="346"/>
      <c r="AM55" s="347"/>
      <c r="AN55" s="118"/>
      <c r="AO55" s="101" t="str">
        <f t="shared" si="19"/>
        <v/>
      </c>
      <c r="AP55" s="113" t="str">
        <f t="shared" si="20"/>
        <v>-</v>
      </c>
      <c r="AQ55" s="119"/>
      <c r="AR55" s="103" t="str">
        <f t="shared" si="21"/>
        <v/>
      </c>
      <c r="AT55" s="38" t="e">
        <f t="shared" si="27"/>
        <v>#N/A</v>
      </c>
      <c r="AU55" s="38">
        <f t="shared" si="18"/>
        <v>0</v>
      </c>
      <c r="AY55" s="38" t="str">
        <f t="shared" si="1"/>
        <v/>
      </c>
      <c r="AZ55" s="38" t="str">
        <f t="shared" si="2"/>
        <v>0</v>
      </c>
      <c r="BA55" s="38" t="str">
        <f t="shared" si="3"/>
        <v>0</v>
      </c>
      <c r="BB55" s="38" t="str">
        <f t="shared" si="4"/>
        <v>0</v>
      </c>
      <c r="BC55" s="38">
        <f t="shared" si="5"/>
        <v>0</v>
      </c>
      <c r="BD55" s="38">
        <f t="shared" si="6"/>
        <v>0</v>
      </c>
      <c r="BL55" s="38" t="str">
        <f t="shared" si="7"/>
        <v/>
      </c>
      <c r="BM55" s="38" t="str">
        <f t="shared" si="8"/>
        <v/>
      </c>
      <c r="BN55" s="38" t="str">
        <f t="shared" si="9"/>
        <v/>
      </c>
      <c r="BO55" s="38" t="str">
        <f t="shared" si="10"/>
        <v/>
      </c>
      <c r="BP55" s="38" t="str">
        <f t="shared" si="11"/>
        <v/>
      </c>
      <c r="BQ55" s="38" t="str">
        <f t="shared" si="12"/>
        <v/>
      </c>
    </row>
    <row r="56" spans="1:69" ht="15.6" x14ac:dyDescent="0.3">
      <c r="A56" s="125"/>
      <c r="B56" s="397" t="e">
        <f>HLOOKUP($F$42,spelerslijsten!$B$1:$H$25,22,FALSE)</f>
        <v>#N/A</v>
      </c>
      <c r="C56" s="398"/>
      <c r="D56" s="126"/>
      <c r="E56" s="126" t="e">
        <f>HLOOKUP($F$42,spelerslijsten!$B$1:$H$25,21,FALSE)</f>
        <v>#N/A</v>
      </c>
      <c r="F56" s="126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08">
        <f t="shared" si="23"/>
        <v>0</v>
      </c>
      <c r="W56" s="109" t="str">
        <f t="shared" si="24"/>
        <v/>
      </c>
      <c r="X56" s="110" t="str">
        <f t="shared" si="25"/>
        <v/>
      </c>
      <c r="Y56" s="103" t="str">
        <f t="shared" si="26"/>
        <v/>
      </c>
      <c r="Z56" s="111"/>
      <c r="AA56" s="112"/>
      <c r="AB56" s="113" t="str">
        <f t="shared" si="16"/>
        <v>-</v>
      </c>
      <c r="AC56" s="112"/>
      <c r="AD56" s="114"/>
      <c r="AE56" s="115"/>
      <c r="AF56" s="115"/>
      <c r="AG56" s="116"/>
      <c r="AH56" s="117"/>
      <c r="AI56" s="117"/>
      <c r="AJ56" s="342"/>
      <c r="AK56" s="343"/>
      <c r="AL56" s="346"/>
      <c r="AM56" s="347"/>
      <c r="AN56" s="118"/>
      <c r="AO56" s="101" t="str">
        <f t="shared" si="19"/>
        <v/>
      </c>
      <c r="AP56" s="113" t="str">
        <f t="shared" si="20"/>
        <v>-</v>
      </c>
      <c r="AQ56" s="119"/>
      <c r="AR56" s="103" t="str">
        <f t="shared" si="21"/>
        <v/>
      </c>
      <c r="AT56" s="38" t="e">
        <f t="shared" si="27"/>
        <v>#N/A</v>
      </c>
      <c r="AU56" s="38">
        <f t="shared" si="18"/>
        <v>0</v>
      </c>
      <c r="AY56" s="38" t="str">
        <f t="shared" si="1"/>
        <v/>
      </c>
      <c r="AZ56" s="38" t="str">
        <f t="shared" si="2"/>
        <v>0</v>
      </c>
      <c r="BA56" s="38" t="str">
        <f t="shared" si="3"/>
        <v>0</v>
      </c>
      <c r="BB56" s="38" t="str">
        <f t="shared" si="4"/>
        <v>0</v>
      </c>
      <c r="BC56" s="38">
        <f t="shared" si="5"/>
        <v>0</v>
      </c>
      <c r="BD56" s="38">
        <f t="shared" si="6"/>
        <v>0</v>
      </c>
      <c r="BL56" s="38" t="str">
        <f t="shared" si="7"/>
        <v/>
      </c>
      <c r="BM56" s="38" t="str">
        <f t="shared" si="8"/>
        <v/>
      </c>
      <c r="BN56" s="38" t="str">
        <f t="shared" si="9"/>
        <v/>
      </c>
      <c r="BO56" s="38" t="str">
        <f t="shared" si="10"/>
        <v/>
      </c>
      <c r="BP56" s="38" t="str">
        <f t="shared" si="11"/>
        <v/>
      </c>
      <c r="BQ56" s="38" t="str">
        <f t="shared" si="12"/>
        <v/>
      </c>
    </row>
    <row r="57" spans="1:69" ht="16.2" thickBot="1" x14ac:dyDescent="0.35">
      <c r="A57" s="71" t="s">
        <v>67</v>
      </c>
      <c r="B57" s="72"/>
      <c r="C57" s="72"/>
      <c r="D57" s="72"/>
      <c r="E57" s="72"/>
      <c r="F57" s="72"/>
      <c r="G57" s="72"/>
      <c r="H57" s="72"/>
      <c r="I57" s="399" t="e">
        <f>HLOOKUP(F42,spelerslijsten!B1:H25,25,FALSE)</f>
        <v>#N/A</v>
      </c>
      <c r="J57" s="400"/>
      <c r="K57" s="74" t="s">
        <v>23</v>
      </c>
      <c r="L57" s="72"/>
      <c r="M57" s="72"/>
      <c r="N57" s="129" t="e">
        <f>HLOOKUP(F42,spelerslijsten!B1:H25,23,FALSE)</f>
        <v>#N/A</v>
      </c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130"/>
      <c r="Z57" s="111"/>
      <c r="AA57" s="112"/>
      <c r="AB57" s="113" t="str">
        <f t="shared" si="16"/>
        <v>-</v>
      </c>
      <c r="AC57" s="112"/>
      <c r="AD57" s="114"/>
      <c r="AE57" s="115"/>
      <c r="AF57" s="115"/>
      <c r="AG57" s="116"/>
      <c r="AH57" s="117"/>
      <c r="AI57" s="117"/>
      <c r="AJ57" s="342"/>
      <c r="AK57" s="343"/>
      <c r="AL57" s="346"/>
      <c r="AM57" s="347"/>
      <c r="AN57" s="118"/>
      <c r="AO57" s="101" t="str">
        <f t="shared" si="19"/>
        <v/>
      </c>
      <c r="AP57" s="113" t="str">
        <f t="shared" si="20"/>
        <v>-</v>
      </c>
      <c r="AQ57" s="119"/>
      <c r="AR57" s="103" t="str">
        <f t="shared" si="21"/>
        <v/>
      </c>
      <c r="AY57" s="38" t="str">
        <f t="shared" si="1"/>
        <v/>
      </c>
      <c r="AZ57" s="38" t="str">
        <f t="shared" si="2"/>
        <v>0</v>
      </c>
      <c r="BA57" s="38" t="str">
        <f t="shared" si="3"/>
        <v>0</v>
      </c>
      <c r="BB57" s="38" t="str">
        <f t="shared" si="4"/>
        <v>0</v>
      </c>
      <c r="BC57" s="38">
        <f t="shared" si="5"/>
        <v>0</v>
      </c>
      <c r="BD57" s="38">
        <f t="shared" si="6"/>
        <v>0</v>
      </c>
      <c r="BL57" s="38" t="str">
        <f t="shared" si="7"/>
        <v/>
      </c>
      <c r="BM57" s="38" t="str">
        <f t="shared" si="8"/>
        <v/>
      </c>
      <c r="BN57" s="38" t="str">
        <f t="shared" si="9"/>
        <v/>
      </c>
      <c r="BO57" s="38" t="str">
        <f t="shared" si="10"/>
        <v/>
      </c>
      <c r="BP57" s="38" t="str">
        <f t="shared" si="11"/>
        <v/>
      </c>
      <c r="BQ57" s="38" t="str">
        <f t="shared" si="12"/>
        <v/>
      </c>
    </row>
    <row r="58" spans="1:69" ht="15.6" x14ac:dyDescent="0.3">
      <c r="A58" s="157" t="s">
        <v>68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158"/>
      <c r="Z58" s="111"/>
      <c r="AA58" s="112"/>
      <c r="AB58" s="113" t="str">
        <f t="shared" si="16"/>
        <v>-</v>
      </c>
      <c r="AC58" s="112"/>
      <c r="AD58" s="114"/>
      <c r="AE58" s="115"/>
      <c r="AF58" s="115"/>
      <c r="AG58" s="116"/>
      <c r="AH58" s="117"/>
      <c r="AI58" s="117"/>
      <c r="AJ58" s="342"/>
      <c r="AK58" s="343"/>
      <c r="AL58" s="346"/>
      <c r="AM58" s="347"/>
      <c r="AN58" s="118"/>
      <c r="AO58" s="101" t="str">
        <f t="shared" si="19"/>
        <v/>
      </c>
      <c r="AP58" s="113" t="str">
        <f t="shared" si="20"/>
        <v>-</v>
      </c>
      <c r="AQ58" s="119"/>
      <c r="AR58" s="103" t="str">
        <f t="shared" si="21"/>
        <v/>
      </c>
      <c r="AY58" s="38" t="str">
        <f t="shared" si="1"/>
        <v/>
      </c>
      <c r="AZ58" s="38" t="str">
        <f t="shared" si="2"/>
        <v>0</v>
      </c>
      <c r="BA58" s="38" t="str">
        <f t="shared" si="3"/>
        <v>0</v>
      </c>
      <c r="BB58" s="38" t="str">
        <f t="shared" si="4"/>
        <v>0</v>
      </c>
      <c r="BC58" s="38">
        <f t="shared" si="5"/>
        <v>0</v>
      </c>
      <c r="BD58" s="38">
        <f t="shared" si="6"/>
        <v>0</v>
      </c>
      <c r="BL58" s="38" t="str">
        <f t="shared" si="7"/>
        <v/>
      </c>
      <c r="BM58" s="38" t="str">
        <f t="shared" si="8"/>
        <v/>
      </c>
      <c r="BN58" s="38" t="str">
        <f t="shared" si="9"/>
        <v/>
      </c>
      <c r="BO58" s="38" t="str">
        <f t="shared" si="10"/>
        <v/>
      </c>
      <c r="BP58" s="38" t="str">
        <f t="shared" si="11"/>
        <v/>
      </c>
      <c r="BQ58" s="38" t="str">
        <f t="shared" si="12"/>
        <v/>
      </c>
    </row>
    <row r="59" spans="1:69" ht="15.6" x14ac:dyDescent="0.3">
      <c r="A59" s="159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60"/>
      <c r="Z59" s="111"/>
      <c r="AA59" s="112"/>
      <c r="AB59" s="113" t="str">
        <f t="shared" si="16"/>
        <v>-</v>
      </c>
      <c r="AC59" s="112"/>
      <c r="AD59" s="114"/>
      <c r="AE59" s="115"/>
      <c r="AF59" s="115"/>
      <c r="AG59" s="116"/>
      <c r="AH59" s="117"/>
      <c r="AI59" s="117"/>
      <c r="AJ59" s="342"/>
      <c r="AK59" s="343"/>
      <c r="AL59" s="346"/>
      <c r="AM59" s="347"/>
      <c r="AN59" s="118"/>
      <c r="AO59" s="101" t="str">
        <f t="shared" si="19"/>
        <v/>
      </c>
      <c r="AP59" s="113" t="str">
        <f t="shared" si="20"/>
        <v>-</v>
      </c>
      <c r="AQ59" s="119"/>
      <c r="AR59" s="103" t="str">
        <f t="shared" si="21"/>
        <v/>
      </c>
      <c r="AY59" s="38" t="str">
        <f t="shared" si="1"/>
        <v/>
      </c>
      <c r="AZ59" s="38" t="str">
        <f t="shared" si="2"/>
        <v>0</v>
      </c>
      <c r="BA59" s="38" t="str">
        <f t="shared" si="3"/>
        <v>0</v>
      </c>
      <c r="BB59" s="38" t="str">
        <f t="shared" si="4"/>
        <v>0</v>
      </c>
      <c r="BC59" s="38">
        <f t="shared" si="5"/>
        <v>0</v>
      </c>
      <c r="BD59" s="38">
        <f t="shared" si="6"/>
        <v>0</v>
      </c>
      <c r="BL59" s="38" t="str">
        <f t="shared" si="7"/>
        <v/>
      </c>
      <c r="BM59" s="38" t="str">
        <f t="shared" si="8"/>
        <v/>
      </c>
      <c r="BN59" s="38" t="str">
        <f t="shared" si="9"/>
        <v/>
      </c>
      <c r="BO59" s="38" t="str">
        <f t="shared" si="10"/>
        <v/>
      </c>
      <c r="BP59" s="38" t="str">
        <f t="shared" si="11"/>
        <v/>
      </c>
      <c r="BQ59" s="38" t="str">
        <f t="shared" si="12"/>
        <v/>
      </c>
    </row>
    <row r="60" spans="1:69" ht="15.6" x14ac:dyDescent="0.3">
      <c r="A60" s="161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62"/>
      <c r="Z60" s="111"/>
      <c r="AA60" s="112"/>
      <c r="AB60" s="113" t="str">
        <f t="shared" si="16"/>
        <v>-</v>
      </c>
      <c r="AC60" s="112"/>
      <c r="AD60" s="114"/>
      <c r="AE60" s="115"/>
      <c r="AF60" s="115"/>
      <c r="AG60" s="116"/>
      <c r="AH60" s="117"/>
      <c r="AI60" s="117"/>
      <c r="AJ60" s="342"/>
      <c r="AK60" s="343"/>
      <c r="AL60" s="346"/>
      <c r="AM60" s="347"/>
      <c r="AN60" s="118"/>
      <c r="AO60" s="101" t="str">
        <f t="shared" si="19"/>
        <v/>
      </c>
      <c r="AP60" s="113" t="str">
        <f t="shared" si="20"/>
        <v>-</v>
      </c>
      <c r="AQ60" s="119"/>
      <c r="AR60" s="103" t="str">
        <f t="shared" si="21"/>
        <v/>
      </c>
      <c r="AY60" s="38" t="str">
        <f t="shared" si="1"/>
        <v/>
      </c>
      <c r="AZ60" s="38" t="str">
        <f t="shared" si="2"/>
        <v>0</v>
      </c>
      <c r="BA60" s="38" t="str">
        <f t="shared" si="3"/>
        <v>0</v>
      </c>
      <c r="BB60" s="38" t="str">
        <f t="shared" si="4"/>
        <v>0</v>
      </c>
      <c r="BC60" s="38">
        <f t="shared" si="5"/>
        <v>0</v>
      </c>
      <c r="BD60" s="38">
        <f t="shared" si="6"/>
        <v>0</v>
      </c>
      <c r="BL60" s="38" t="str">
        <f t="shared" si="7"/>
        <v/>
      </c>
      <c r="BM60" s="38" t="str">
        <f t="shared" si="8"/>
        <v/>
      </c>
      <c r="BN60" s="38" t="str">
        <f t="shared" si="9"/>
        <v/>
      </c>
      <c r="BO60" s="38" t="str">
        <f t="shared" si="10"/>
        <v/>
      </c>
      <c r="BP60" s="38" t="str">
        <f t="shared" si="11"/>
        <v/>
      </c>
      <c r="BQ60" s="38" t="str">
        <f t="shared" si="12"/>
        <v/>
      </c>
    </row>
    <row r="61" spans="1:69" ht="15.6" x14ac:dyDescent="0.3">
      <c r="A61" s="161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62"/>
      <c r="Z61" s="111"/>
      <c r="AA61" s="112"/>
      <c r="AB61" s="113" t="str">
        <f t="shared" si="16"/>
        <v>-</v>
      </c>
      <c r="AC61" s="112"/>
      <c r="AD61" s="114"/>
      <c r="AE61" s="115"/>
      <c r="AF61" s="115"/>
      <c r="AG61" s="116"/>
      <c r="AH61" s="117"/>
      <c r="AI61" s="117"/>
      <c r="AJ61" s="342"/>
      <c r="AK61" s="343"/>
      <c r="AL61" s="346"/>
      <c r="AM61" s="347"/>
      <c r="AN61" s="118"/>
      <c r="AO61" s="101" t="str">
        <f t="shared" si="19"/>
        <v/>
      </c>
      <c r="AP61" s="113" t="str">
        <f t="shared" si="20"/>
        <v>-</v>
      </c>
      <c r="AQ61" s="119"/>
      <c r="AR61" s="103" t="str">
        <f t="shared" si="21"/>
        <v/>
      </c>
      <c r="AY61" s="38" t="str">
        <f t="shared" si="1"/>
        <v/>
      </c>
      <c r="AZ61" s="38" t="str">
        <f t="shared" si="2"/>
        <v>0</v>
      </c>
      <c r="BA61" s="38" t="str">
        <f t="shared" si="3"/>
        <v>0</v>
      </c>
      <c r="BB61" s="38" t="str">
        <f t="shared" si="4"/>
        <v>0</v>
      </c>
      <c r="BC61" s="38">
        <f t="shared" si="5"/>
        <v>0</v>
      </c>
      <c r="BD61" s="38">
        <f t="shared" si="6"/>
        <v>0</v>
      </c>
      <c r="BL61" s="38" t="str">
        <f t="shared" si="7"/>
        <v/>
      </c>
      <c r="BM61" s="38" t="str">
        <f t="shared" si="8"/>
        <v/>
      </c>
      <c r="BN61" s="38" t="str">
        <f t="shared" si="9"/>
        <v/>
      </c>
      <c r="BO61" s="38" t="str">
        <f t="shared" si="10"/>
        <v/>
      </c>
      <c r="BP61" s="38" t="str">
        <f t="shared" si="11"/>
        <v/>
      </c>
      <c r="BQ61" s="38" t="str">
        <f t="shared" si="12"/>
        <v/>
      </c>
    </row>
    <row r="62" spans="1:69" ht="15.6" x14ac:dyDescent="0.3">
      <c r="A62" s="161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62"/>
      <c r="Z62" s="111"/>
      <c r="AA62" s="112"/>
      <c r="AB62" s="113" t="str">
        <f>+AB60</f>
        <v>-</v>
      </c>
      <c r="AC62" s="112"/>
      <c r="AD62" s="114"/>
      <c r="AE62" s="115"/>
      <c r="AF62" s="115"/>
      <c r="AG62" s="116"/>
      <c r="AH62" s="117"/>
      <c r="AI62" s="117"/>
      <c r="AJ62" s="342"/>
      <c r="AK62" s="343"/>
      <c r="AL62" s="346"/>
      <c r="AM62" s="347"/>
      <c r="AN62" s="118"/>
      <c r="AO62" s="101" t="str">
        <f t="shared" si="19"/>
        <v/>
      </c>
      <c r="AP62" s="113" t="str">
        <f t="shared" si="20"/>
        <v>-</v>
      </c>
      <c r="AQ62" s="119"/>
      <c r="AR62" s="103" t="str">
        <f t="shared" si="21"/>
        <v/>
      </c>
      <c r="AY62" s="38" t="str">
        <f t="shared" si="1"/>
        <v/>
      </c>
      <c r="AZ62" s="38" t="str">
        <f t="shared" si="2"/>
        <v>0</v>
      </c>
      <c r="BA62" s="38" t="str">
        <f t="shared" si="3"/>
        <v>0</v>
      </c>
      <c r="BB62" s="38" t="str">
        <f t="shared" si="4"/>
        <v>0</v>
      </c>
      <c r="BC62" s="38">
        <f t="shared" si="5"/>
        <v>0</v>
      </c>
      <c r="BD62" s="38">
        <f t="shared" si="6"/>
        <v>0</v>
      </c>
      <c r="BL62" s="38" t="str">
        <f t="shared" si="7"/>
        <v/>
      </c>
      <c r="BM62" s="38" t="str">
        <f t="shared" si="8"/>
        <v/>
      </c>
      <c r="BN62" s="38" t="str">
        <f t="shared" si="9"/>
        <v/>
      </c>
      <c r="BO62" s="38" t="str">
        <f t="shared" si="10"/>
        <v/>
      </c>
      <c r="BP62" s="38" t="str">
        <f t="shared" si="11"/>
        <v/>
      </c>
      <c r="BQ62" s="38" t="str">
        <f t="shared" si="12"/>
        <v/>
      </c>
    </row>
    <row r="63" spans="1:69" ht="16.2" thickBot="1" x14ac:dyDescent="0.35">
      <c r="A63" s="163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64"/>
      <c r="Z63" s="165"/>
      <c r="AA63" s="166"/>
      <c r="AB63" s="167" t="str">
        <f>+AB62</f>
        <v>-</v>
      </c>
      <c r="AC63" s="166"/>
      <c r="AD63" s="168"/>
      <c r="AE63" s="169"/>
      <c r="AF63" s="169"/>
      <c r="AG63" s="170"/>
      <c r="AH63" s="171"/>
      <c r="AI63" s="171"/>
      <c r="AJ63" s="344"/>
      <c r="AK63" s="345"/>
      <c r="AL63" s="352"/>
      <c r="AM63" s="353"/>
      <c r="AN63" s="172"/>
      <c r="AO63" s="101" t="str">
        <f t="shared" si="19"/>
        <v/>
      </c>
      <c r="AP63" s="113" t="str">
        <f t="shared" si="20"/>
        <v>-</v>
      </c>
      <c r="AQ63" s="119"/>
      <c r="AR63" s="103" t="str">
        <f t="shared" si="21"/>
        <v/>
      </c>
      <c r="AY63" s="38" t="str">
        <f t="shared" si="1"/>
        <v/>
      </c>
      <c r="AZ63" s="38" t="str">
        <f t="shared" si="2"/>
        <v>0</v>
      </c>
      <c r="BA63" s="38" t="str">
        <f t="shared" si="3"/>
        <v>0</v>
      </c>
      <c r="BB63" s="38" t="str">
        <f t="shared" si="4"/>
        <v>0</v>
      </c>
      <c r="BC63" s="38">
        <f t="shared" si="5"/>
        <v>0</v>
      </c>
      <c r="BD63" s="38">
        <f t="shared" si="6"/>
        <v>0</v>
      </c>
      <c r="BL63" s="38" t="str">
        <f t="shared" si="7"/>
        <v/>
      </c>
      <c r="BM63" s="38" t="str">
        <f t="shared" si="8"/>
        <v/>
      </c>
      <c r="BN63" s="38" t="str">
        <f t="shared" si="9"/>
        <v/>
      </c>
      <c r="BO63" s="38" t="str">
        <f t="shared" si="10"/>
        <v/>
      </c>
      <c r="BP63" s="38" t="str">
        <f t="shared" si="11"/>
        <v/>
      </c>
      <c r="BQ63" s="38" t="str">
        <f t="shared" si="12"/>
        <v/>
      </c>
    </row>
    <row r="64" spans="1:69" ht="18.600000000000001" thickBot="1" x14ac:dyDescent="0.35">
      <c r="A64" s="173" t="s">
        <v>69</v>
      </c>
      <c r="B64" s="174"/>
      <c r="C64" s="174"/>
      <c r="D64" s="174"/>
      <c r="E64" s="174"/>
      <c r="F64" s="174"/>
      <c r="G64" s="174">
        <f>IF(AO69&gt;AR69,AO69,IF(AO69=AR69,AO69,AR69))</f>
        <v>4</v>
      </c>
      <c r="H64" s="175" t="s">
        <v>16</v>
      </c>
      <c r="I64" s="174">
        <f>IF(AO69&gt;AR69,AR69,IF(AO69=AR69,AR69,AO69))</f>
        <v>4</v>
      </c>
      <c r="J64" s="174"/>
      <c r="K64" s="174" t="s">
        <v>70</v>
      </c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6" t="str">
        <f>BE69</f>
        <v>GELIJK</v>
      </c>
      <c r="W64" s="174"/>
      <c r="X64" s="174"/>
      <c r="Y64" s="174"/>
      <c r="Z64" s="174"/>
      <c r="AA64" s="174"/>
      <c r="AB64" s="174"/>
      <c r="AC64" s="174"/>
      <c r="AD64" s="177"/>
      <c r="AE64" s="178" t="s">
        <v>71</v>
      </c>
      <c r="AF64" s="179"/>
      <c r="AG64" s="179"/>
      <c r="AH64" s="179"/>
      <c r="AI64" s="179"/>
      <c r="AJ64" s="174"/>
      <c r="AK64" s="174"/>
      <c r="AL64" s="403" t="s">
        <v>109</v>
      </c>
      <c r="AM64" s="404"/>
      <c r="AN64" s="404"/>
      <c r="AO64" s="404"/>
      <c r="AP64" s="404"/>
      <c r="AQ64" s="404"/>
      <c r="AR64" s="405"/>
    </row>
    <row r="65" spans="1:57" x14ac:dyDescent="0.3">
      <c r="A65" s="180" t="s">
        <v>72</v>
      </c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2"/>
      <c r="P65" s="183" t="s">
        <v>72</v>
      </c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219"/>
      <c r="AC65" s="181"/>
      <c r="AD65" s="184"/>
      <c r="AE65" s="185" t="s">
        <v>72</v>
      </c>
      <c r="AF65" s="186"/>
      <c r="AG65" s="186"/>
      <c r="AH65" s="186"/>
      <c r="AI65" s="186"/>
      <c r="AJ65" s="181"/>
      <c r="AK65" s="181"/>
      <c r="AL65" s="181"/>
      <c r="AM65" s="181"/>
      <c r="AN65" s="181"/>
      <c r="AO65" s="186"/>
      <c r="AP65" s="181"/>
      <c r="AQ65" s="181"/>
      <c r="AR65" s="187"/>
    </row>
    <row r="66" spans="1:57" x14ac:dyDescent="0.3">
      <c r="A66" s="188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90"/>
      <c r="P66" s="191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91"/>
      <c r="AC66" s="189"/>
      <c r="AD66" s="192"/>
      <c r="AE66" s="193"/>
      <c r="AF66" s="193"/>
      <c r="AG66" s="193"/>
      <c r="AH66" s="193"/>
      <c r="AI66" s="193"/>
      <c r="AJ66" s="189"/>
      <c r="AK66" s="189"/>
      <c r="AL66" s="189"/>
      <c r="AM66" s="189"/>
      <c r="AN66" s="189"/>
      <c r="AO66" s="193"/>
      <c r="AP66" s="189"/>
      <c r="AQ66" s="189"/>
      <c r="AR66" s="194"/>
    </row>
    <row r="67" spans="1:57" ht="14.4" thickBot="1" x14ac:dyDescent="0.3">
      <c r="A67" s="195" t="s">
        <v>73</v>
      </c>
      <c r="B67" s="196"/>
      <c r="C67" s="196"/>
      <c r="D67" s="196"/>
      <c r="E67" s="196"/>
      <c r="F67" s="196"/>
      <c r="G67" s="196"/>
      <c r="H67" s="197" t="s">
        <v>74</v>
      </c>
      <c r="I67" s="196"/>
      <c r="J67" s="196"/>
      <c r="K67" s="196"/>
      <c r="L67" s="196"/>
      <c r="M67" s="196"/>
      <c r="N67" s="196"/>
      <c r="O67" s="198"/>
      <c r="P67" s="199" t="s">
        <v>73</v>
      </c>
      <c r="Q67" s="196"/>
      <c r="R67" s="196"/>
      <c r="S67" s="196"/>
      <c r="T67" s="196"/>
      <c r="U67" s="196"/>
      <c r="V67" s="196"/>
      <c r="W67" s="197" t="s">
        <v>75</v>
      </c>
      <c r="X67" s="196"/>
      <c r="Y67" s="196"/>
      <c r="Z67" s="196"/>
      <c r="AA67" s="196"/>
      <c r="AB67" s="220"/>
      <c r="AC67" s="196"/>
      <c r="AD67" s="200"/>
      <c r="AE67" s="201" t="s">
        <v>25</v>
      </c>
      <c r="AF67" s="202"/>
      <c r="AG67" s="202"/>
      <c r="AH67" s="202"/>
      <c r="AI67" s="202"/>
      <c r="AJ67" s="203"/>
      <c r="AK67" s="203"/>
      <c r="AL67" s="203"/>
      <c r="AM67" s="203"/>
      <c r="AN67" s="203"/>
      <c r="AO67" s="202"/>
      <c r="AP67" s="203"/>
      <c r="AQ67" s="203"/>
      <c r="AR67" s="204"/>
    </row>
    <row r="68" spans="1:57" x14ac:dyDescent="0.3">
      <c r="AE68" s="40"/>
      <c r="AF68" s="40"/>
      <c r="AG68" s="40"/>
      <c r="AH68" s="40"/>
      <c r="AI68" s="40"/>
      <c r="AO68" s="40"/>
      <c r="AR68" s="40"/>
    </row>
    <row r="69" spans="1:57" hidden="1" x14ac:dyDescent="0.3">
      <c r="AE69" s="40"/>
      <c r="AF69" s="40"/>
      <c r="AG69" s="40"/>
      <c r="AH69" s="40"/>
      <c r="AI69" s="40"/>
      <c r="AO69" s="40">
        <f>IF(AO30="","",MAX(AO30:AO63))</f>
        <v>4</v>
      </c>
      <c r="AR69" s="40">
        <f>IF(AR30="","",MAX(AR30:AR63))</f>
        <v>4</v>
      </c>
      <c r="AS69" s="38" t="str">
        <f>IF(AO30="","0","1")</f>
        <v>1</v>
      </c>
      <c r="BE69" s="38" t="str">
        <f>IF(AS69="0","WIT/BLAUW",IF(AO69&gt;AR69,"WIT",IF(AO69=AR69,"GELIJK","BLAUW")))</f>
        <v>GELIJK</v>
      </c>
    </row>
    <row r="70" spans="1:57" x14ac:dyDescent="0.3">
      <c r="AE70" s="40"/>
      <c r="AF70" s="40"/>
      <c r="AG70" s="40"/>
      <c r="AH70" s="40"/>
      <c r="AI70" s="40"/>
      <c r="AO70" s="40"/>
      <c r="AR70" s="40"/>
    </row>
    <row r="71" spans="1:57" x14ac:dyDescent="0.3">
      <c r="AE71" s="40"/>
      <c r="AF71" s="40"/>
      <c r="AG71" s="40"/>
      <c r="AH71" s="40"/>
      <c r="AI71" s="40"/>
      <c r="AO71" s="40"/>
      <c r="AR71" s="40"/>
    </row>
    <row r="72" spans="1:57" x14ac:dyDescent="0.3">
      <c r="AE72" s="40"/>
      <c r="AF72" s="40"/>
      <c r="AG72" s="40"/>
      <c r="AH72" s="40"/>
      <c r="AI72" s="40"/>
      <c r="AO72" s="40"/>
      <c r="AR72" s="40"/>
    </row>
    <row r="73" spans="1:57" x14ac:dyDescent="0.3">
      <c r="AE73" s="40"/>
      <c r="AF73" s="40"/>
      <c r="AG73" s="40"/>
      <c r="AH73" s="40"/>
      <c r="AI73" s="40"/>
      <c r="AO73" s="40"/>
      <c r="AR73" s="40"/>
    </row>
  </sheetData>
  <sheetProtection sheet="1" objects="1" scenarios="1"/>
  <mergeCells count="123">
    <mergeCell ref="AJ61:AK61"/>
    <mergeCell ref="AL61:AM61"/>
    <mergeCell ref="AJ62:AK62"/>
    <mergeCell ref="AL62:AM62"/>
    <mergeCell ref="AJ63:AK63"/>
    <mergeCell ref="AL63:AM63"/>
    <mergeCell ref="AL64:AR64"/>
    <mergeCell ref="AJ59:AK59"/>
    <mergeCell ref="AL59:AM59"/>
    <mergeCell ref="AJ60:AK60"/>
    <mergeCell ref="AL60:AM60"/>
    <mergeCell ref="AJ57:AK57"/>
    <mergeCell ref="AL57:AM57"/>
    <mergeCell ref="AJ58:AK58"/>
    <mergeCell ref="AL58:AM58"/>
    <mergeCell ref="I57:J57"/>
    <mergeCell ref="B55:C55"/>
    <mergeCell ref="AJ55:AK55"/>
    <mergeCell ref="AL55:AM55"/>
    <mergeCell ref="B56:C56"/>
    <mergeCell ref="AJ56:AK56"/>
    <mergeCell ref="AL56:AM56"/>
    <mergeCell ref="B53:C53"/>
    <mergeCell ref="AJ53:AK53"/>
    <mergeCell ref="AL53:AM53"/>
    <mergeCell ref="B54:C54"/>
    <mergeCell ref="AJ54:AK54"/>
    <mergeCell ref="AL54:AM54"/>
    <mergeCell ref="B51:C51"/>
    <mergeCell ref="AJ51:AK51"/>
    <mergeCell ref="AL51:AM51"/>
    <mergeCell ref="B52:C52"/>
    <mergeCell ref="AJ52:AK52"/>
    <mergeCell ref="AL52:AM52"/>
    <mergeCell ref="AJ48:AK48"/>
    <mergeCell ref="AL48:AM48"/>
    <mergeCell ref="B49:C49"/>
    <mergeCell ref="AJ49:AK49"/>
    <mergeCell ref="AL49:AM49"/>
    <mergeCell ref="B50:C50"/>
    <mergeCell ref="AJ50:AK50"/>
    <mergeCell ref="AL50:AM50"/>
    <mergeCell ref="B48:C48"/>
    <mergeCell ref="B40:C40"/>
    <mergeCell ref="AJ40:AK40"/>
    <mergeCell ref="AL40:AM40"/>
    <mergeCell ref="I41:J41"/>
    <mergeCell ref="AJ41:AK41"/>
    <mergeCell ref="AL41:AM41"/>
    <mergeCell ref="F42:Y45"/>
    <mergeCell ref="AJ42:AK42"/>
    <mergeCell ref="AL42:AM42"/>
    <mergeCell ref="A43:D45"/>
    <mergeCell ref="AJ43:AK43"/>
    <mergeCell ref="AL43:AM43"/>
    <mergeCell ref="AJ44:AK44"/>
    <mergeCell ref="AL44:AM44"/>
    <mergeCell ref="AJ45:AK45"/>
    <mergeCell ref="AL45:AM45"/>
    <mergeCell ref="D21:N21"/>
    <mergeCell ref="BF21:BI23"/>
    <mergeCell ref="D22:E22"/>
    <mergeCell ref="G22:I22"/>
    <mergeCell ref="K22:M22"/>
    <mergeCell ref="AH23:AR23"/>
    <mergeCell ref="F27:Y29"/>
    <mergeCell ref="Z27:AD29"/>
    <mergeCell ref="AJ27:AK29"/>
    <mergeCell ref="AL27:AM29"/>
    <mergeCell ref="AN27:AR28"/>
    <mergeCell ref="A28:D29"/>
    <mergeCell ref="AN29:AO29"/>
    <mergeCell ref="AQ29:AR29"/>
    <mergeCell ref="B35:C35"/>
    <mergeCell ref="AJ35:AK35"/>
    <mergeCell ref="AL35:AM35"/>
    <mergeCell ref="B36:C36"/>
    <mergeCell ref="AJ36:AK36"/>
    <mergeCell ref="AL36:AM36"/>
    <mergeCell ref="AJ30:AK30"/>
    <mergeCell ref="AL30:AM30"/>
    <mergeCell ref="B31:C31"/>
    <mergeCell ref="AJ31:AK31"/>
    <mergeCell ref="AL31:AM31"/>
    <mergeCell ref="B32:C32"/>
    <mergeCell ref="AJ32:AK32"/>
    <mergeCell ref="AL32:AM32"/>
    <mergeCell ref="B33:C33"/>
    <mergeCell ref="AJ33:AK33"/>
    <mergeCell ref="AL33:AM33"/>
    <mergeCell ref="AJ46:AK46"/>
    <mergeCell ref="AL46:AM46"/>
    <mergeCell ref="B47:C47"/>
    <mergeCell ref="AJ47:AK47"/>
    <mergeCell ref="AL47:AM47"/>
    <mergeCell ref="A11:AS11"/>
    <mergeCell ref="A12:AS12"/>
    <mergeCell ref="A13:AS13"/>
    <mergeCell ref="A14:AS14"/>
    <mergeCell ref="A15:AS15"/>
    <mergeCell ref="A16:AS16"/>
    <mergeCell ref="A17:AS17"/>
    <mergeCell ref="B37:C37"/>
    <mergeCell ref="AJ37:AK37"/>
    <mergeCell ref="AL37:AM37"/>
    <mergeCell ref="B38:C38"/>
    <mergeCell ref="AJ38:AK38"/>
    <mergeCell ref="AL38:AM38"/>
    <mergeCell ref="B39:C39"/>
    <mergeCell ref="AJ39:AK39"/>
    <mergeCell ref="AL39:AM39"/>
    <mergeCell ref="B34:C34"/>
    <mergeCell ref="AJ34:AK34"/>
    <mergeCell ref="AL34:AM34"/>
    <mergeCell ref="A1:AS1"/>
    <mergeCell ref="A3:AS3"/>
    <mergeCell ref="A4:AS4"/>
    <mergeCell ref="A5:AS5"/>
    <mergeCell ref="A6:AS6"/>
    <mergeCell ref="A7:AS7"/>
    <mergeCell ref="A8:AS8"/>
    <mergeCell ref="A9:AS9"/>
    <mergeCell ref="A10:AS10"/>
  </mergeCells>
  <dataValidations count="1">
    <dataValidation type="list" allowBlank="1" showInputMessage="1" showErrorMessage="1" sqref="AL64:AR64" xr:uid="{5EB90699-AA11-4316-B7EB-797566CCD85C}">
      <formula1>"JA/NEE,JA,NEE"</formula1>
    </dataValidation>
  </dataValidations>
  <hyperlinks>
    <hyperlink ref="BF21:BI23" location="Wedstrijden!A1" display="Wedstrijdschema" xr:uid="{6F260738-64FA-4F5C-86D4-FA107C30CE10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E3D54-53E5-435F-B76C-AB11C6690F43}">
  <sheetPr>
    <pageSetUpPr fitToPage="1"/>
  </sheetPr>
  <dimension ref="A1:IV50"/>
  <sheetViews>
    <sheetView workbookViewId="0">
      <selection activeCell="BF4" sqref="BF4:BI6"/>
    </sheetView>
  </sheetViews>
  <sheetFormatPr defaultRowHeight="13.8" x14ac:dyDescent="0.3"/>
  <cols>
    <col min="1" max="6" width="2.33203125" style="38" customWidth="1"/>
    <col min="7" max="7" width="3.33203125" style="38" customWidth="1"/>
    <col min="8" max="8" width="2.33203125" style="38" customWidth="1"/>
    <col min="9" max="9" width="3.33203125" style="38" customWidth="1"/>
    <col min="10" max="25" width="2.33203125" style="38" customWidth="1"/>
    <col min="26" max="28" width="2.109375" style="38" customWidth="1"/>
    <col min="29" max="29" width="3" style="38" customWidth="1"/>
    <col min="30" max="30" width="2.109375" style="39" customWidth="1"/>
    <col min="31" max="35" width="2.33203125" style="40" customWidth="1"/>
    <col min="36" max="39" width="2.33203125" style="38" customWidth="1"/>
    <col min="40" max="40" width="2.109375" style="38" customWidth="1"/>
    <col min="41" max="41" width="3.33203125" style="40" customWidth="1"/>
    <col min="42" max="43" width="2.109375" style="38" customWidth="1"/>
    <col min="44" max="44" width="3.33203125" style="40" customWidth="1"/>
    <col min="45" max="45" width="9.109375" style="38"/>
    <col min="46" max="56" width="9.109375" style="38" hidden="1" customWidth="1"/>
    <col min="57" max="62" width="9.109375" style="38"/>
    <col min="63" max="69" width="0" style="38" hidden="1" customWidth="1"/>
    <col min="70" max="256" width="9.109375" style="38"/>
    <col min="257" max="281" width="2.33203125" style="38" customWidth="1"/>
    <col min="282" max="286" width="2.109375" style="38" customWidth="1"/>
    <col min="287" max="295" width="2.33203125" style="38" customWidth="1"/>
    <col min="296" max="300" width="2.109375" style="38" customWidth="1"/>
    <col min="301" max="512" width="9.109375" style="38"/>
    <col min="513" max="537" width="2.33203125" style="38" customWidth="1"/>
    <col min="538" max="542" width="2.109375" style="38" customWidth="1"/>
    <col min="543" max="551" width="2.33203125" style="38" customWidth="1"/>
    <col min="552" max="556" width="2.109375" style="38" customWidth="1"/>
    <col min="557" max="768" width="9.109375" style="38"/>
    <col min="769" max="793" width="2.33203125" style="38" customWidth="1"/>
    <col min="794" max="798" width="2.109375" style="38" customWidth="1"/>
    <col min="799" max="807" width="2.33203125" style="38" customWidth="1"/>
    <col min="808" max="812" width="2.109375" style="38" customWidth="1"/>
    <col min="813" max="1024" width="9.109375" style="38"/>
    <col min="1025" max="1049" width="2.33203125" style="38" customWidth="1"/>
    <col min="1050" max="1054" width="2.109375" style="38" customWidth="1"/>
    <col min="1055" max="1063" width="2.33203125" style="38" customWidth="1"/>
    <col min="1064" max="1068" width="2.109375" style="38" customWidth="1"/>
    <col min="1069" max="1280" width="9.109375" style="38"/>
    <col min="1281" max="1305" width="2.33203125" style="38" customWidth="1"/>
    <col min="1306" max="1310" width="2.109375" style="38" customWidth="1"/>
    <col min="1311" max="1319" width="2.33203125" style="38" customWidth="1"/>
    <col min="1320" max="1324" width="2.109375" style="38" customWidth="1"/>
    <col min="1325" max="1536" width="9.109375" style="38"/>
    <col min="1537" max="1561" width="2.33203125" style="38" customWidth="1"/>
    <col min="1562" max="1566" width="2.109375" style="38" customWidth="1"/>
    <col min="1567" max="1575" width="2.33203125" style="38" customWidth="1"/>
    <col min="1576" max="1580" width="2.109375" style="38" customWidth="1"/>
    <col min="1581" max="1792" width="9.109375" style="38"/>
    <col min="1793" max="1817" width="2.33203125" style="38" customWidth="1"/>
    <col min="1818" max="1822" width="2.109375" style="38" customWidth="1"/>
    <col min="1823" max="1831" width="2.33203125" style="38" customWidth="1"/>
    <col min="1832" max="1836" width="2.109375" style="38" customWidth="1"/>
    <col min="1837" max="2048" width="9.109375" style="38"/>
    <col min="2049" max="2073" width="2.33203125" style="38" customWidth="1"/>
    <col min="2074" max="2078" width="2.109375" style="38" customWidth="1"/>
    <col min="2079" max="2087" width="2.33203125" style="38" customWidth="1"/>
    <col min="2088" max="2092" width="2.109375" style="38" customWidth="1"/>
    <col min="2093" max="2304" width="9.109375" style="38"/>
    <col min="2305" max="2329" width="2.33203125" style="38" customWidth="1"/>
    <col min="2330" max="2334" width="2.109375" style="38" customWidth="1"/>
    <col min="2335" max="2343" width="2.33203125" style="38" customWidth="1"/>
    <col min="2344" max="2348" width="2.109375" style="38" customWidth="1"/>
    <col min="2349" max="2560" width="9.109375" style="38"/>
    <col min="2561" max="2585" width="2.33203125" style="38" customWidth="1"/>
    <col min="2586" max="2590" width="2.109375" style="38" customWidth="1"/>
    <col min="2591" max="2599" width="2.33203125" style="38" customWidth="1"/>
    <col min="2600" max="2604" width="2.109375" style="38" customWidth="1"/>
    <col min="2605" max="2816" width="9.109375" style="38"/>
    <col min="2817" max="2841" width="2.33203125" style="38" customWidth="1"/>
    <col min="2842" max="2846" width="2.109375" style="38" customWidth="1"/>
    <col min="2847" max="2855" width="2.33203125" style="38" customWidth="1"/>
    <col min="2856" max="2860" width="2.109375" style="38" customWidth="1"/>
    <col min="2861" max="3072" width="9.109375" style="38"/>
    <col min="3073" max="3097" width="2.33203125" style="38" customWidth="1"/>
    <col min="3098" max="3102" width="2.109375" style="38" customWidth="1"/>
    <col min="3103" max="3111" width="2.33203125" style="38" customWidth="1"/>
    <col min="3112" max="3116" width="2.109375" style="38" customWidth="1"/>
    <col min="3117" max="3328" width="9.109375" style="38"/>
    <col min="3329" max="3353" width="2.33203125" style="38" customWidth="1"/>
    <col min="3354" max="3358" width="2.109375" style="38" customWidth="1"/>
    <col min="3359" max="3367" width="2.33203125" style="38" customWidth="1"/>
    <col min="3368" max="3372" width="2.109375" style="38" customWidth="1"/>
    <col min="3373" max="3584" width="9.109375" style="38"/>
    <col min="3585" max="3609" width="2.33203125" style="38" customWidth="1"/>
    <col min="3610" max="3614" width="2.109375" style="38" customWidth="1"/>
    <col min="3615" max="3623" width="2.33203125" style="38" customWidth="1"/>
    <col min="3624" max="3628" width="2.109375" style="38" customWidth="1"/>
    <col min="3629" max="3840" width="9.109375" style="38"/>
    <col min="3841" max="3865" width="2.33203125" style="38" customWidth="1"/>
    <col min="3866" max="3870" width="2.109375" style="38" customWidth="1"/>
    <col min="3871" max="3879" width="2.33203125" style="38" customWidth="1"/>
    <col min="3880" max="3884" width="2.109375" style="38" customWidth="1"/>
    <col min="3885" max="4096" width="9.109375" style="38"/>
    <col min="4097" max="4121" width="2.33203125" style="38" customWidth="1"/>
    <col min="4122" max="4126" width="2.109375" style="38" customWidth="1"/>
    <col min="4127" max="4135" width="2.33203125" style="38" customWidth="1"/>
    <col min="4136" max="4140" width="2.109375" style="38" customWidth="1"/>
    <col min="4141" max="4352" width="9.109375" style="38"/>
    <col min="4353" max="4377" width="2.33203125" style="38" customWidth="1"/>
    <col min="4378" max="4382" width="2.109375" style="38" customWidth="1"/>
    <col min="4383" max="4391" width="2.33203125" style="38" customWidth="1"/>
    <col min="4392" max="4396" width="2.109375" style="38" customWidth="1"/>
    <col min="4397" max="4608" width="9.109375" style="38"/>
    <col min="4609" max="4633" width="2.33203125" style="38" customWidth="1"/>
    <col min="4634" max="4638" width="2.109375" style="38" customWidth="1"/>
    <col min="4639" max="4647" width="2.33203125" style="38" customWidth="1"/>
    <col min="4648" max="4652" width="2.109375" style="38" customWidth="1"/>
    <col min="4653" max="4864" width="9.109375" style="38"/>
    <col min="4865" max="4889" width="2.33203125" style="38" customWidth="1"/>
    <col min="4890" max="4894" width="2.109375" style="38" customWidth="1"/>
    <col min="4895" max="4903" width="2.33203125" style="38" customWidth="1"/>
    <col min="4904" max="4908" width="2.109375" style="38" customWidth="1"/>
    <col min="4909" max="5120" width="9.109375" style="38"/>
    <col min="5121" max="5145" width="2.33203125" style="38" customWidth="1"/>
    <col min="5146" max="5150" width="2.109375" style="38" customWidth="1"/>
    <col min="5151" max="5159" width="2.33203125" style="38" customWidth="1"/>
    <col min="5160" max="5164" width="2.109375" style="38" customWidth="1"/>
    <col min="5165" max="5376" width="9.109375" style="38"/>
    <col min="5377" max="5401" width="2.33203125" style="38" customWidth="1"/>
    <col min="5402" max="5406" width="2.109375" style="38" customWidth="1"/>
    <col min="5407" max="5415" width="2.33203125" style="38" customWidth="1"/>
    <col min="5416" max="5420" width="2.109375" style="38" customWidth="1"/>
    <col min="5421" max="5632" width="9.109375" style="38"/>
    <col min="5633" max="5657" width="2.33203125" style="38" customWidth="1"/>
    <col min="5658" max="5662" width="2.109375" style="38" customWidth="1"/>
    <col min="5663" max="5671" width="2.33203125" style="38" customWidth="1"/>
    <col min="5672" max="5676" width="2.109375" style="38" customWidth="1"/>
    <col min="5677" max="5888" width="9.109375" style="38"/>
    <col min="5889" max="5913" width="2.33203125" style="38" customWidth="1"/>
    <col min="5914" max="5918" width="2.109375" style="38" customWidth="1"/>
    <col min="5919" max="5927" width="2.33203125" style="38" customWidth="1"/>
    <col min="5928" max="5932" width="2.109375" style="38" customWidth="1"/>
    <col min="5933" max="6144" width="9.109375" style="38"/>
    <col min="6145" max="6169" width="2.33203125" style="38" customWidth="1"/>
    <col min="6170" max="6174" width="2.109375" style="38" customWidth="1"/>
    <col min="6175" max="6183" width="2.33203125" style="38" customWidth="1"/>
    <col min="6184" max="6188" width="2.109375" style="38" customWidth="1"/>
    <col min="6189" max="6400" width="9.109375" style="38"/>
    <col min="6401" max="6425" width="2.33203125" style="38" customWidth="1"/>
    <col min="6426" max="6430" width="2.109375" style="38" customWidth="1"/>
    <col min="6431" max="6439" width="2.33203125" style="38" customWidth="1"/>
    <col min="6440" max="6444" width="2.109375" style="38" customWidth="1"/>
    <col min="6445" max="6656" width="9.109375" style="38"/>
    <col min="6657" max="6681" width="2.33203125" style="38" customWidth="1"/>
    <col min="6682" max="6686" width="2.109375" style="38" customWidth="1"/>
    <col min="6687" max="6695" width="2.33203125" style="38" customWidth="1"/>
    <col min="6696" max="6700" width="2.109375" style="38" customWidth="1"/>
    <col min="6701" max="6912" width="9.109375" style="38"/>
    <col min="6913" max="6937" width="2.33203125" style="38" customWidth="1"/>
    <col min="6938" max="6942" width="2.109375" style="38" customWidth="1"/>
    <col min="6943" max="6951" width="2.33203125" style="38" customWidth="1"/>
    <col min="6952" max="6956" width="2.109375" style="38" customWidth="1"/>
    <col min="6957" max="7168" width="9.109375" style="38"/>
    <col min="7169" max="7193" width="2.33203125" style="38" customWidth="1"/>
    <col min="7194" max="7198" width="2.109375" style="38" customWidth="1"/>
    <col min="7199" max="7207" width="2.33203125" style="38" customWidth="1"/>
    <col min="7208" max="7212" width="2.109375" style="38" customWidth="1"/>
    <col min="7213" max="7424" width="9.109375" style="38"/>
    <col min="7425" max="7449" width="2.33203125" style="38" customWidth="1"/>
    <col min="7450" max="7454" width="2.109375" style="38" customWidth="1"/>
    <col min="7455" max="7463" width="2.33203125" style="38" customWidth="1"/>
    <col min="7464" max="7468" width="2.109375" style="38" customWidth="1"/>
    <col min="7469" max="7680" width="9.109375" style="38"/>
    <col min="7681" max="7705" width="2.33203125" style="38" customWidth="1"/>
    <col min="7706" max="7710" width="2.109375" style="38" customWidth="1"/>
    <col min="7711" max="7719" width="2.33203125" style="38" customWidth="1"/>
    <col min="7720" max="7724" width="2.109375" style="38" customWidth="1"/>
    <col min="7725" max="7936" width="9.109375" style="38"/>
    <col min="7937" max="7961" width="2.33203125" style="38" customWidth="1"/>
    <col min="7962" max="7966" width="2.109375" style="38" customWidth="1"/>
    <col min="7967" max="7975" width="2.33203125" style="38" customWidth="1"/>
    <col min="7976" max="7980" width="2.109375" style="38" customWidth="1"/>
    <col min="7981" max="8192" width="9.109375" style="38"/>
    <col min="8193" max="8217" width="2.33203125" style="38" customWidth="1"/>
    <col min="8218" max="8222" width="2.109375" style="38" customWidth="1"/>
    <col min="8223" max="8231" width="2.33203125" style="38" customWidth="1"/>
    <col min="8232" max="8236" width="2.109375" style="38" customWidth="1"/>
    <col min="8237" max="8448" width="9.109375" style="38"/>
    <col min="8449" max="8473" width="2.33203125" style="38" customWidth="1"/>
    <col min="8474" max="8478" width="2.109375" style="38" customWidth="1"/>
    <col min="8479" max="8487" width="2.33203125" style="38" customWidth="1"/>
    <col min="8488" max="8492" width="2.109375" style="38" customWidth="1"/>
    <col min="8493" max="8704" width="9.109375" style="38"/>
    <col min="8705" max="8729" width="2.33203125" style="38" customWidth="1"/>
    <col min="8730" max="8734" width="2.109375" style="38" customWidth="1"/>
    <col min="8735" max="8743" width="2.33203125" style="38" customWidth="1"/>
    <col min="8744" max="8748" width="2.109375" style="38" customWidth="1"/>
    <col min="8749" max="8960" width="9.109375" style="38"/>
    <col min="8961" max="8985" width="2.33203125" style="38" customWidth="1"/>
    <col min="8986" max="8990" width="2.109375" style="38" customWidth="1"/>
    <col min="8991" max="8999" width="2.33203125" style="38" customWidth="1"/>
    <col min="9000" max="9004" width="2.109375" style="38" customWidth="1"/>
    <col min="9005" max="9216" width="9.109375" style="38"/>
    <col min="9217" max="9241" width="2.33203125" style="38" customWidth="1"/>
    <col min="9242" max="9246" width="2.109375" style="38" customWidth="1"/>
    <col min="9247" max="9255" width="2.33203125" style="38" customWidth="1"/>
    <col min="9256" max="9260" width="2.109375" style="38" customWidth="1"/>
    <col min="9261" max="9472" width="9.109375" style="38"/>
    <col min="9473" max="9497" width="2.33203125" style="38" customWidth="1"/>
    <col min="9498" max="9502" width="2.109375" style="38" customWidth="1"/>
    <col min="9503" max="9511" width="2.33203125" style="38" customWidth="1"/>
    <col min="9512" max="9516" width="2.109375" style="38" customWidth="1"/>
    <col min="9517" max="9728" width="9.109375" style="38"/>
    <col min="9729" max="9753" width="2.33203125" style="38" customWidth="1"/>
    <col min="9754" max="9758" width="2.109375" style="38" customWidth="1"/>
    <col min="9759" max="9767" width="2.33203125" style="38" customWidth="1"/>
    <col min="9768" max="9772" width="2.109375" style="38" customWidth="1"/>
    <col min="9773" max="9984" width="9.109375" style="38"/>
    <col min="9985" max="10009" width="2.33203125" style="38" customWidth="1"/>
    <col min="10010" max="10014" width="2.109375" style="38" customWidth="1"/>
    <col min="10015" max="10023" width="2.33203125" style="38" customWidth="1"/>
    <col min="10024" max="10028" width="2.109375" style="38" customWidth="1"/>
    <col min="10029" max="10240" width="9.109375" style="38"/>
    <col min="10241" max="10265" width="2.33203125" style="38" customWidth="1"/>
    <col min="10266" max="10270" width="2.109375" style="38" customWidth="1"/>
    <col min="10271" max="10279" width="2.33203125" style="38" customWidth="1"/>
    <col min="10280" max="10284" width="2.109375" style="38" customWidth="1"/>
    <col min="10285" max="10496" width="9.109375" style="38"/>
    <col min="10497" max="10521" width="2.33203125" style="38" customWidth="1"/>
    <col min="10522" max="10526" width="2.109375" style="38" customWidth="1"/>
    <col min="10527" max="10535" width="2.33203125" style="38" customWidth="1"/>
    <col min="10536" max="10540" width="2.109375" style="38" customWidth="1"/>
    <col min="10541" max="10752" width="9.109375" style="38"/>
    <col min="10753" max="10777" width="2.33203125" style="38" customWidth="1"/>
    <col min="10778" max="10782" width="2.109375" style="38" customWidth="1"/>
    <col min="10783" max="10791" width="2.33203125" style="38" customWidth="1"/>
    <col min="10792" max="10796" width="2.109375" style="38" customWidth="1"/>
    <col min="10797" max="11008" width="9.109375" style="38"/>
    <col min="11009" max="11033" width="2.33203125" style="38" customWidth="1"/>
    <col min="11034" max="11038" width="2.109375" style="38" customWidth="1"/>
    <col min="11039" max="11047" width="2.33203125" style="38" customWidth="1"/>
    <col min="11048" max="11052" width="2.109375" style="38" customWidth="1"/>
    <col min="11053" max="11264" width="9.109375" style="38"/>
    <col min="11265" max="11289" width="2.33203125" style="38" customWidth="1"/>
    <col min="11290" max="11294" width="2.109375" style="38" customWidth="1"/>
    <col min="11295" max="11303" width="2.33203125" style="38" customWidth="1"/>
    <col min="11304" max="11308" width="2.109375" style="38" customWidth="1"/>
    <col min="11309" max="11520" width="9.109375" style="38"/>
    <col min="11521" max="11545" width="2.33203125" style="38" customWidth="1"/>
    <col min="11546" max="11550" width="2.109375" style="38" customWidth="1"/>
    <col min="11551" max="11559" width="2.33203125" style="38" customWidth="1"/>
    <col min="11560" max="11564" width="2.109375" style="38" customWidth="1"/>
    <col min="11565" max="11776" width="9.109375" style="38"/>
    <col min="11777" max="11801" width="2.33203125" style="38" customWidth="1"/>
    <col min="11802" max="11806" width="2.109375" style="38" customWidth="1"/>
    <col min="11807" max="11815" width="2.33203125" style="38" customWidth="1"/>
    <col min="11816" max="11820" width="2.109375" style="38" customWidth="1"/>
    <col min="11821" max="12032" width="9.109375" style="38"/>
    <col min="12033" max="12057" width="2.33203125" style="38" customWidth="1"/>
    <col min="12058" max="12062" width="2.109375" style="38" customWidth="1"/>
    <col min="12063" max="12071" width="2.33203125" style="38" customWidth="1"/>
    <col min="12072" max="12076" width="2.109375" style="38" customWidth="1"/>
    <col min="12077" max="12288" width="9.109375" style="38"/>
    <col min="12289" max="12313" width="2.33203125" style="38" customWidth="1"/>
    <col min="12314" max="12318" width="2.109375" style="38" customWidth="1"/>
    <col min="12319" max="12327" width="2.33203125" style="38" customWidth="1"/>
    <col min="12328" max="12332" width="2.109375" style="38" customWidth="1"/>
    <col min="12333" max="12544" width="9.109375" style="38"/>
    <col min="12545" max="12569" width="2.33203125" style="38" customWidth="1"/>
    <col min="12570" max="12574" width="2.109375" style="38" customWidth="1"/>
    <col min="12575" max="12583" width="2.33203125" style="38" customWidth="1"/>
    <col min="12584" max="12588" width="2.109375" style="38" customWidth="1"/>
    <col min="12589" max="12800" width="9.109375" style="38"/>
    <col min="12801" max="12825" width="2.33203125" style="38" customWidth="1"/>
    <col min="12826" max="12830" width="2.109375" style="38" customWidth="1"/>
    <col min="12831" max="12839" width="2.33203125" style="38" customWidth="1"/>
    <col min="12840" max="12844" width="2.109375" style="38" customWidth="1"/>
    <col min="12845" max="13056" width="9.109375" style="38"/>
    <col min="13057" max="13081" width="2.33203125" style="38" customWidth="1"/>
    <col min="13082" max="13086" width="2.109375" style="38" customWidth="1"/>
    <col min="13087" max="13095" width="2.33203125" style="38" customWidth="1"/>
    <col min="13096" max="13100" width="2.109375" style="38" customWidth="1"/>
    <col min="13101" max="13312" width="9.109375" style="38"/>
    <col min="13313" max="13337" width="2.33203125" style="38" customWidth="1"/>
    <col min="13338" max="13342" width="2.109375" style="38" customWidth="1"/>
    <col min="13343" max="13351" width="2.33203125" style="38" customWidth="1"/>
    <col min="13352" max="13356" width="2.109375" style="38" customWidth="1"/>
    <col min="13357" max="13568" width="9.109375" style="38"/>
    <col min="13569" max="13593" width="2.33203125" style="38" customWidth="1"/>
    <col min="13594" max="13598" width="2.109375" style="38" customWidth="1"/>
    <col min="13599" max="13607" width="2.33203125" style="38" customWidth="1"/>
    <col min="13608" max="13612" width="2.109375" style="38" customWidth="1"/>
    <col min="13613" max="13824" width="9.109375" style="38"/>
    <col min="13825" max="13849" width="2.33203125" style="38" customWidth="1"/>
    <col min="13850" max="13854" width="2.109375" style="38" customWidth="1"/>
    <col min="13855" max="13863" width="2.33203125" style="38" customWidth="1"/>
    <col min="13864" max="13868" width="2.109375" style="38" customWidth="1"/>
    <col min="13869" max="14080" width="9.109375" style="38"/>
    <col min="14081" max="14105" width="2.33203125" style="38" customWidth="1"/>
    <col min="14106" max="14110" width="2.109375" style="38" customWidth="1"/>
    <col min="14111" max="14119" width="2.33203125" style="38" customWidth="1"/>
    <col min="14120" max="14124" width="2.109375" style="38" customWidth="1"/>
    <col min="14125" max="14336" width="9.109375" style="38"/>
    <col min="14337" max="14361" width="2.33203125" style="38" customWidth="1"/>
    <col min="14362" max="14366" width="2.109375" style="38" customWidth="1"/>
    <col min="14367" max="14375" width="2.33203125" style="38" customWidth="1"/>
    <col min="14376" max="14380" width="2.109375" style="38" customWidth="1"/>
    <col min="14381" max="14592" width="9.109375" style="38"/>
    <col min="14593" max="14617" width="2.33203125" style="38" customWidth="1"/>
    <col min="14618" max="14622" width="2.109375" style="38" customWidth="1"/>
    <col min="14623" max="14631" width="2.33203125" style="38" customWidth="1"/>
    <col min="14632" max="14636" width="2.109375" style="38" customWidth="1"/>
    <col min="14637" max="14848" width="9.109375" style="38"/>
    <col min="14849" max="14873" width="2.33203125" style="38" customWidth="1"/>
    <col min="14874" max="14878" width="2.109375" style="38" customWidth="1"/>
    <col min="14879" max="14887" width="2.33203125" style="38" customWidth="1"/>
    <col min="14888" max="14892" width="2.109375" style="38" customWidth="1"/>
    <col min="14893" max="15104" width="9.109375" style="38"/>
    <col min="15105" max="15129" width="2.33203125" style="38" customWidth="1"/>
    <col min="15130" max="15134" width="2.109375" style="38" customWidth="1"/>
    <col min="15135" max="15143" width="2.33203125" style="38" customWidth="1"/>
    <col min="15144" max="15148" width="2.109375" style="38" customWidth="1"/>
    <col min="15149" max="15360" width="9.109375" style="38"/>
    <col min="15361" max="15385" width="2.33203125" style="38" customWidth="1"/>
    <col min="15386" max="15390" width="2.109375" style="38" customWidth="1"/>
    <col min="15391" max="15399" width="2.33203125" style="38" customWidth="1"/>
    <col min="15400" max="15404" width="2.109375" style="38" customWidth="1"/>
    <col min="15405" max="15616" width="9.109375" style="38"/>
    <col min="15617" max="15641" width="2.33203125" style="38" customWidth="1"/>
    <col min="15642" max="15646" width="2.109375" style="38" customWidth="1"/>
    <col min="15647" max="15655" width="2.33203125" style="38" customWidth="1"/>
    <col min="15656" max="15660" width="2.109375" style="38" customWidth="1"/>
    <col min="15661" max="15872" width="9.109375" style="38"/>
    <col min="15873" max="15897" width="2.33203125" style="38" customWidth="1"/>
    <col min="15898" max="15902" width="2.109375" style="38" customWidth="1"/>
    <col min="15903" max="15911" width="2.33203125" style="38" customWidth="1"/>
    <col min="15912" max="15916" width="2.109375" style="38" customWidth="1"/>
    <col min="15917" max="16128" width="9.109375" style="38"/>
    <col min="16129" max="16153" width="2.33203125" style="38" customWidth="1"/>
    <col min="16154" max="16158" width="2.109375" style="38" customWidth="1"/>
    <col min="16159" max="16167" width="2.33203125" style="38" customWidth="1"/>
    <col min="16168" max="16172" width="2.109375" style="38" customWidth="1"/>
    <col min="16173" max="16384" width="9.109375" style="38"/>
  </cols>
  <sheetData>
    <row r="1" spans="1:256" ht="20.399999999999999" x14ac:dyDescent="0.3">
      <c r="A1" s="37" t="s">
        <v>40</v>
      </c>
      <c r="AO1" s="41">
        <v>0</v>
      </c>
      <c r="AP1" s="42"/>
      <c r="AQ1" s="42"/>
      <c r="AR1" s="41">
        <v>0</v>
      </c>
      <c r="AV1" s="43">
        <v>1.3888888888888888E-2</v>
      </c>
    </row>
    <row r="2" spans="1:256" x14ac:dyDescent="0.3">
      <c r="A2" s="38" t="s">
        <v>42</v>
      </c>
      <c r="E2" s="38" t="s">
        <v>76</v>
      </c>
      <c r="P2" s="44" t="s">
        <v>22</v>
      </c>
      <c r="Q2" s="45"/>
      <c r="R2" s="45"/>
      <c r="S2" s="45"/>
      <c r="T2" s="45"/>
      <c r="U2" s="45"/>
      <c r="V2" s="45"/>
      <c r="W2" s="45" t="s">
        <v>3</v>
      </c>
      <c r="X2" s="45"/>
      <c r="Y2" s="46" t="s">
        <v>41</v>
      </c>
      <c r="Z2" s="45"/>
      <c r="AA2" s="45"/>
      <c r="AB2" s="45"/>
      <c r="AC2" s="45"/>
      <c r="AD2" s="47"/>
      <c r="AE2" s="48"/>
      <c r="AF2" s="48"/>
      <c r="AG2" s="49"/>
    </row>
    <row r="3" spans="1:256" ht="15" customHeight="1" thickBot="1" x14ac:dyDescent="0.35">
      <c r="A3" s="38" t="s">
        <v>19</v>
      </c>
      <c r="D3" s="428">
        <f>Wedstrijden!I2</f>
        <v>45732</v>
      </c>
      <c r="E3" s="429"/>
      <c r="F3" s="429"/>
      <c r="G3" s="429"/>
      <c r="H3" s="429"/>
      <c r="I3" s="429"/>
      <c r="J3" s="429"/>
      <c r="K3" s="429"/>
      <c r="L3" s="429"/>
      <c r="M3" s="429"/>
      <c r="N3" s="430"/>
      <c r="P3" s="50" t="s">
        <v>18</v>
      </c>
      <c r="Q3" s="51" t="s">
        <v>43</v>
      </c>
      <c r="W3" s="38" t="s">
        <v>0</v>
      </c>
      <c r="Y3" s="51" t="s">
        <v>44</v>
      </c>
      <c r="AG3" s="52"/>
    </row>
    <row r="4" spans="1:256" x14ac:dyDescent="0.3">
      <c r="A4" s="38" t="s">
        <v>20</v>
      </c>
      <c r="D4" s="418">
        <v>1</v>
      </c>
      <c r="E4" s="418"/>
      <c r="F4" s="53"/>
      <c r="G4" s="419">
        <f>VLOOKUP(D4,Wedstrijden!A5:B56,2,0)</f>
        <v>0.52083333333333337</v>
      </c>
      <c r="H4" s="419"/>
      <c r="I4" s="419"/>
      <c r="J4" s="54" t="s">
        <v>16</v>
      </c>
      <c r="K4" s="419">
        <f>G4+AV1</f>
        <v>0.53472222222222221</v>
      </c>
      <c r="L4" s="419"/>
      <c r="M4" s="419"/>
      <c r="N4" s="53"/>
      <c r="P4" s="50" t="s">
        <v>17</v>
      </c>
      <c r="Q4" s="51" t="s">
        <v>45</v>
      </c>
      <c r="W4" s="38" t="s">
        <v>9</v>
      </c>
      <c r="Y4" s="51" t="s">
        <v>46</v>
      </c>
      <c r="AG4" s="52"/>
      <c r="BF4" s="406" t="s">
        <v>102</v>
      </c>
      <c r="BG4" s="407"/>
      <c r="BH4" s="407"/>
      <c r="BI4" s="408"/>
    </row>
    <row r="5" spans="1:256" x14ac:dyDescent="0.3">
      <c r="A5" s="38" t="s">
        <v>176</v>
      </c>
      <c r="D5" s="451" t="str">
        <f>VLOOKUP(D4,Wedstrijden!A6:D49,4,0)</f>
        <v>A</v>
      </c>
      <c r="E5" s="451"/>
      <c r="F5" s="53"/>
      <c r="G5" s="431" t="s">
        <v>174</v>
      </c>
      <c r="H5" s="431"/>
      <c r="I5" s="431"/>
      <c r="J5" s="431"/>
      <c r="K5" s="431"/>
      <c r="L5" s="431"/>
      <c r="M5" s="431"/>
      <c r="N5" s="431"/>
      <c r="P5" s="50" t="s">
        <v>10</v>
      </c>
      <c r="Q5" s="51" t="s">
        <v>47</v>
      </c>
      <c r="W5" s="38" t="s">
        <v>12</v>
      </c>
      <c r="Y5" s="51" t="s">
        <v>48</v>
      </c>
      <c r="AG5" s="52"/>
      <c r="BF5" s="409"/>
      <c r="BG5" s="410"/>
      <c r="BH5" s="410"/>
      <c r="BI5" s="411"/>
    </row>
    <row r="6" spans="1:256" ht="14.4" thickBot="1" x14ac:dyDescent="0.2">
      <c r="A6" s="38" t="s">
        <v>21</v>
      </c>
      <c r="D6" s="55" t="str">
        <f>Wedstrijden!K2</f>
        <v>Den Bosch</v>
      </c>
      <c r="P6" s="50" t="s">
        <v>11</v>
      </c>
      <c r="Q6" s="51" t="s">
        <v>49</v>
      </c>
      <c r="W6" s="38" t="s">
        <v>13</v>
      </c>
      <c r="Y6" s="51" t="s">
        <v>50</v>
      </c>
      <c r="AG6" s="52"/>
      <c r="AH6" s="354" t="s">
        <v>51</v>
      </c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BF6" s="412"/>
      <c r="BG6" s="413"/>
      <c r="BH6" s="413"/>
      <c r="BI6" s="414"/>
    </row>
    <row r="7" spans="1:256" x14ac:dyDescent="0.2">
      <c r="A7" s="56" t="s">
        <v>52</v>
      </c>
      <c r="B7" s="57"/>
      <c r="C7" s="57"/>
      <c r="D7" s="57"/>
      <c r="E7" s="58" t="s">
        <v>53</v>
      </c>
      <c r="F7" s="57"/>
      <c r="G7" s="59" t="str">
        <f>VLOOKUP(D4,Wedstrijden!A6:L57,5,0)</f>
        <v>VZ&amp;PC Nautilus 1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 t="s">
        <v>54</v>
      </c>
      <c r="X7" s="57"/>
      <c r="Y7" s="57"/>
      <c r="Z7" s="58" t="s">
        <v>55</v>
      </c>
      <c r="AA7" s="58"/>
      <c r="AB7" s="57"/>
      <c r="AC7" s="59" t="str">
        <f>VLOOKUP(D4,Wedstrijden!A6:L57,9,0)</f>
        <v>RZ Roermond</v>
      </c>
      <c r="AD7" s="60"/>
      <c r="AE7" s="61"/>
      <c r="AF7" s="61"/>
      <c r="AG7" s="61"/>
      <c r="AH7" s="61"/>
      <c r="AI7" s="61"/>
      <c r="AJ7" s="57"/>
      <c r="AK7" s="57"/>
      <c r="AL7" s="57"/>
      <c r="AM7" s="57"/>
      <c r="AN7" s="57"/>
      <c r="AO7" s="61"/>
      <c r="AP7" s="57"/>
      <c r="AQ7" s="57"/>
      <c r="AR7" s="62"/>
    </row>
    <row r="8" spans="1:256" x14ac:dyDescent="0.3">
      <c r="A8" s="63" t="s">
        <v>56</v>
      </c>
      <c r="B8" s="64"/>
      <c r="C8" s="64"/>
      <c r="D8" s="64"/>
      <c r="E8" s="64"/>
      <c r="F8" s="64"/>
      <c r="G8" s="64"/>
      <c r="H8" s="64"/>
      <c r="I8" s="64"/>
      <c r="J8" s="65" t="str">
        <f>VLOOKUP(D4,Wedstrijden!A6:P343,13,0)</f>
        <v>Hans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 t="s">
        <v>57</v>
      </c>
      <c r="X8" s="64"/>
      <c r="Y8" s="64"/>
      <c r="Z8" s="66" t="str">
        <f>VLOOKUP(D4,Wedstrijden!A6:N170,14,0)</f>
        <v>Kiki</v>
      </c>
      <c r="AA8" s="64"/>
      <c r="AB8" s="64"/>
      <c r="AC8" s="64"/>
      <c r="AD8" s="67"/>
      <c r="AE8" s="68"/>
      <c r="AF8" s="68"/>
      <c r="AG8" s="68"/>
      <c r="AH8" s="68"/>
      <c r="AI8" s="68"/>
      <c r="AJ8" s="69" t="s">
        <v>17</v>
      </c>
      <c r="AK8" s="64"/>
      <c r="AL8" s="64"/>
      <c r="AM8" s="64"/>
      <c r="AN8" s="64"/>
      <c r="AO8" s="68"/>
      <c r="AP8" s="64"/>
      <c r="AQ8" s="64"/>
      <c r="AR8" s="70"/>
    </row>
    <row r="9" spans="1:256" ht="14.4" thickBot="1" x14ac:dyDescent="0.35">
      <c r="A9" s="71" t="s">
        <v>58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4" t="s">
        <v>59</v>
      </c>
      <c r="X9" s="72"/>
      <c r="Y9" s="72"/>
      <c r="Z9" s="72"/>
      <c r="AA9" s="72"/>
      <c r="AB9" s="72"/>
      <c r="AC9" s="72"/>
      <c r="AD9" s="265"/>
      <c r="AE9" s="266"/>
      <c r="AF9" s="266"/>
      <c r="AG9" s="266"/>
      <c r="AH9" s="266"/>
      <c r="AI9" s="266"/>
      <c r="AJ9" s="72"/>
      <c r="AK9" s="72"/>
      <c r="AL9" s="72"/>
      <c r="AM9" s="72"/>
      <c r="AN9" s="72"/>
      <c r="AO9" s="266"/>
      <c r="AP9" s="72"/>
      <c r="AQ9" s="72"/>
      <c r="AR9" s="267"/>
    </row>
    <row r="10" spans="1:256" ht="15" x14ac:dyDescent="0.3">
      <c r="A10" s="78" t="s">
        <v>60</v>
      </c>
      <c r="B10" s="79"/>
      <c r="C10" s="79"/>
      <c r="D10" s="79"/>
      <c r="E10" s="79"/>
      <c r="F10" s="356" t="str">
        <f>+G7</f>
        <v>VZ&amp;PC Nautilus 1</v>
      </c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7"/>
      <c r="Z10" s="362" t="s">
        <v>8</v>
      </c>
      <c r="AA10" s="363"/>
      <c r="AB10" s="363"/>
      <c r="AC10" s="363"/>
      <c r="AD10" s="364"/>
      <c r="AE10" s="80"/>
      <c r="AF10" s="80"/>
      <c r="AG10" s="80"/>
      <c r="AH10" s="80" t="s">
        <v>61</v>
      </c>
      <c r="AI10" s="80" t="s">
        <v>61</v>
      </c>
      <c r="AJ10" s="371" t="s">
        <v>14</v>
      </c>
      <c r="AK10" s="372"/>
      <c r="AL10" s="377" t="s">
        <v>62</v>
      </c>
      <c r="AM10" s="378"/>
      <c r="AN10" s="383" t="s">
        <v>15</v>
      </c>
      <c r="AO10" s="384"/>
      <c r="AP10" s="384"/>
      <c r="AQ10" s="384"/>
      <c r="AR10" s="385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2" t="s">
        <v>136</v>
      </c>
      <c r="BL10" s="82" t="str">
        <f>CONCATENATE($BL$12&amp;BK10&amp;"x")</f>
        <v>swwx</v>
      </c>
      <c r="BM10" s="82" t="str">
        <f>CONCATENATE($BM$12&amp;BK10&amp;"x")</f>
        <v>dwx</v>
      </c>
      <c r="BN10" s="82" t="str">
        <f>CONCATENATE($BN$12&amp;BK10&amp;"x")</f>
        <v>pwx</v>
      </c>
      <c r="BO10" s="82" t="str">
        <f>CONCATENATE($BO$12&amp;BK10&amp;"x")</f>
        <v>umvwx</v>
      </c>
      <c r="BP10" s="82" t="str">
        <f>CONCATENATE($BP$12&amp;BK10&amp;"x")</f>
        <v>uzvwx</v>
      </c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1" spans="1:256" x14ac:dyDescent="0.3">
      <c r="A11" s="393" t="s">
        <v>7</v>
      </c>
      <c r="B11" s="394"/>
      <c r="C11" s="394"/>
      <c r="D11" s="394"/>
      <c r="E11" s="81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  <c r="Z11" s="365"/>
      <c r="AA11" s="366"/>
      <c r="AB11" s="366"/>
      <c r="AC11" s="366"/>
      <c r="AD11" s="367"/>
      <c r="AE11" s="83" t="s">
        <v>63</v>
      </c>
      <c r="AF11" s="83"/>
      <c r="AG11" s="83"/>
      <c r="AH11" s="83" t="s">
        <v>64</v>
      </c>
      <c r="AI11" s="83" t="s">
        <v>65</v>
      </c>
      <c r="AJ11" s="373"/>
      <c r="AK11" s="374"/>
      <c r="AL11" s="379"/>
      <c r="AM11" s="380"/>
      <c r="AN11" s="386"/>
      <c r="AO11" s="387"/>
      <c r="AP11" s="387"/>
      <c r="AQ11" s="387"/>
      <c r="AR11" s="388"/>
      <c r="AS11" s="81"/>
      <c r="AT11" s="81"/>
      <c r="AU11" s="81" t="s">
        <v>17</v>
      </c>
      <c r="AV11" s="81" t="s">
        <v>18</v>
      </c>
      <c r="AW11" s="81" t="s">
        <v>77</v>
      </c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2" t="s">
        <v>142</v>
      </c>
      <c r="BL11" s="82" t="str">
        <f>CONCATENATE($BL$12&amp;BK11&amp;"x")</f>
        <v>swbx</v>
      </c>
      <c r="BM11" s="82" t="str">
        <f>CONCATENATE($BM$12&amp;BK11&amp;"x")</f>
        <v>dbx</v>
      </c>
      <c r="BN11" s="82" t="str">
        <f>CONCATENATE($BN$12&amp;BK11&amp;"x")</f>
        <v>pbx</v>
      </c>
      <c r="BO11" s="82" t="str">
        <f>CONCATENATE($BO$12&amp;BK11&amp;"x")</f>
        <v>umvbx</v>
      </c>
      <c r="BP11" s="82" t="str">
        <f>CONCATENATE($BP$12&amp;BK11&amp;"x")</f>
        <v>uzvbx</v>
      </c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</row>
    <row r="12" spans="1:256" ht="18" x14ac:dyDescent="0.35">
      <c r="A12" s="395"/>
      <c r="B12" s="396"/>
      <c r="C12" s="396"/>
      <c r="D12" s="394"/>
      <c r="E12" s="81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1"/>
      <c r="Z12" s="368"/>
      <c r="AA12" s="369"/>
      <c r="AB12" s="369"/>
      <c r="AC12" s="369"/>
      <c r="AD12" s="370"/>
      <c r="AE12" s="84" t="s">
        <v>17</v>
      </c>
      <c r="AF12" s="84" t="s">
        <v>10</v>
      </c>
      <c r="AG12" s="84" t="s">
        <v>11</v>
      </c>
      <c r="AH12" s="84" t="s">
        <v>66</v>
      </c>
      <c r="AI12" s="84" t="s">
        <v>66</v>
      </c>
      <c r="AJ12" s="375"/>
      <c r="AK12" s="376"/>
      <c r="AL12" s="381"/>
      <c r="AM12" s="382"/>
      <c r="AN12" s="389" t="s">
        <v>17</v>
      </c>
      <c r="AO12" s="369"/>
      <c r="AP12" s="85"/>
      <c r="AQ12" s="369" t="s">
        <v>18</v>
      </c>
      <c r="AR12" s="390"/>
      <c r="AS12" s="81"/>
      <c r="AT12" s="81"/>
      <c r="AU12" s="81" t="s">
        <v>78</v>
      </c>
      <c r="AV12" s="81" t="s">
        <v>79</v>
      </c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 t="s">
        <v>138</v>
      </c>
      <c r="BM12" s="81" t="s">
        <v>139</v>
      </c>
      <c r="BN12" s="81" t="s">
        <v>79</v>
      </c>
      <c r="BO12" s="81" t="s">
        <v>140</v>
      </c>
      <c r="BP12" s="81" t="s">
        <v>141</v>
      </c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</row>
    <row r="13" spans="1:256" ht="15.6" x14ac:dyDescent="0.3">
      <c r="A13" s="86" t="s">
        <v>0</v>
      </c>
      <c r="B13" s="87" t="s">
        <v>1</v>
      </c>
      <c r="C13" s="88"/>
      <c r="D13" s="89"/>
      <c r="E13" s="88" t="s">
        <v>2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90"/>
      <c r="V13" s="91" t="s">
        <v>3</v>
      </c>
      <c r="W13" s="91" t="s">
        <v>4</v>
      </c>
      <c r="X13" s="91" t="s">
        <v>5</v>
      </c>
      <c r="Y13" s="92" t="s">
        <v>6</v>
      </c>
      <c r="Z13" s="268"/>
      <c r="AA13" s="102"/>
      <c r="AB13" s="95" t="s">
        <v>16</v>
      </c>
      <c r="AC13" s="102"/>
      <c r="AD13" s="269"/>
      <c r="AE13" s="109"/>
      <c r="AF13" s="109"/>
      <c r="AG13" s="110"/>
      <c r="AH13" s="270"/>
      <c r="AI13" s="270"/>
      <c r="AJ13" s="447"/>
      <c r="AK13" s="448"/>
      <c r="AL13" s="449"/>
      <c r="AM13" s="450"/>
      <c r="AN13" s="100"/>
      <c r="AO13" s="101" t="str">
        <f>IF(BQ13="","",IF(BQ13=$BL$10,"2"+AO1,IF(BQ13=$BM$10,"1"+AO1,IF(BQ13=$BN$10,"0"+AO1,IF(BQ13=$BO$10,"0"+AO1,IF(BQ13=$BP$10,"0"+AO1,"0"+AO1))))))</f>
        <v/>
      </c>
      <c r="AP13" s="95" t="s">
        <v>16</v>
      </c>
      <c r="AQ13" s="102"/>
      <c r="AR13" s="103" t="str">
        <f>IF(BQ13="","",IF(BQ13=$BL$11,"2"+AR1,IF(BQ13=$BM$11,"1"+AR1,IF(BQ13=$BN$11,"0"+AR1,IF(BQ13=$BO$11,"0"+AR1,IF(BQ13=$BP$11,"0"+AR1,"0"+AR1))))))</f>
        <v/>
      </c>
      <c r="AY13" s="38" t="str">
        <f>CONCATENATE(AJ13&amp;AL13)</f>
        <v/>
      </c>
      <c r="AZ13" s="38" t="str">
        <f>IF(AE13=$AW$11,"2","0")</f>
        <v>0</v>
      </c>
      <c r="BA13" s="38" t="str">
        <f>IF(AG13=$AW$11,"1","0")</f>
        <v>0</v>
      </c>
      <c r="BB13" s="38" t="str">
        <f>IF(AF13=$AW$11,"1","0")</f>
        <v>0</v>
      </c>
      <c r="BC13" s="38">
        <f>AZ13+BA13</f>
        <v>0</v>
      </c>
      <c r="BD13" s="38">
        <f>BB13+0</f>
        <v>0</v>
      </c>
      <c r="BL13" s="38" t="str">
        <f>IF(AE13="","",CONCATENATE($BL$12&amp;AJ13&amp;AE13))</f>
        <v/>
      </c>
      <c r="BM13" s="38" t="str">
        <f>IF(AG13="","",CONCATENATE($BM$12&amp;AJ13&amp;AG13))</f>
        <v/>
      </c>
      <c r="BN13" s="38" t="str">
        <f>IF(AF13="","",CONCATENATE($BN$12&amp;AJ13,AF13))</f>
        <v/>
      </c>
      <c r="BO13" s="38" t="str">
        <f>IF(AH13="","",CONCATENATE($BO$12&amp;AJ13&amp;AH13))</f>
        <v/>
      </c>
      <c r="BP13" s="38" t="str">
        <f>IF(AI13="","",CONCATENATE($BP$12&amp;AJ13&amp;AI13))</f>
        <v/>
      </c>
      <c r="BQ13" s="38" t="str">
        <f>CONCATENATE(BL13&amp;BM13&amp;BN13&amp;BO13&amp;BP13)</f>
        <v/>
      </c>
    </row>
    <row r="14" spans="1:256" ht="15.6" x14ac:dyDescent="0.3">
      <c r="A14" s="271"/>
      <c r="B14" s="397">
        <f>IF(ISBLANK(HLOOKUP($F$10,spelerslijsten!$B$1:$J$22,4,FALSE)),"",HLOOKUP($F$10,spelerslijsten!$B$1:$J$22,4,FALSE))</f>
        <v>2</v>
      </c>
      <c r="C14" s="398"/>
      <c r="D14" s="105"/>
      <c r="E14" s="106" t="str">
        <f>IF(ISBLANK(HLOOKUP($F$10,spelerslijsten!$B$1:$J$22,3,FALSE)),"",HLOOKUP($F$10,spelerslijsten!$B$1:$J$22,3,FALSE))</f>
        <v>Corne Braken</v>
      </c>
      <c r="F14" s="107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8">
        <f t="shared" ref="V14:V20" si="0">SUMIF($AY$13:$AY$46,AT14,$BC$13:$BC$46)</f>
        <v>0</v>
      </c>
      <c r="W14" s="109" t="str">
        <f>IF(AU14&gt;0,"x","")</f>
        <v/>
      </c>
      <c r="X14" s="110" t="str">
        <f>IF(AU14&gt;1,"x","")</f>
        <v/>
      </c>
      <c r="Y14" s="103" t="str">
        <f>IF(AU14&gt;2,"x","")</f>
        <v/>
      </c>
      <c r="Z14" s="257"/>
      <c r="AA14" s="119"/>
      <c r="AB14" s="113" t="str">
        <f>+AB13</f>
        <v>-</v>
      </c>
      <c r="AC14" s="119"/>
      <c r="AD14" s="272"/>
      <c r="AE14" s="108"/>
      <c r="AF14" s="108"/>
      <c r="AG14" s="273"/>
      <c r="AH14" s="274"/>
      <c r="AI14" s="274"/>
      <c r="AJ14" s="432"/>
      <c r="AK14" s="433"/>
      <c r="AL14" s="434"/>
      <c r="AM14" s="435"/>
      <c r="AN14" s="118"/>
      <c r="AO14" s="101" t="str">
        <f>IF(BQ14="","",IF(BQ14=$BL$10,"2"+AO13,IF(BQ14=$BM$10,"1"+AO13,IF(BQ14=$BN$10,"0"+AO13,IF(BQ14=$BO$10,"0"+AO13,IF(BQ14=$BP$10,"0"+AO13,"0"+AO13))))))</f>
        <v/>
      </c>
      <c r="AP14" s="113" t="str">
        <f>+AP13</f>
        <v>-</v>
      </c>
      <c r="AQ14" s="119"/>
      <c r="AR14" s="103" t="str">
        <f>IF(BQ14="","",IF(BQ14=$BL$11,"2"+AR13,IF(BQ14=$BM$11,"1"+AR13,IF(BQ14=$BN$11,"0"+AR13,IF(BQ14=$BO$11,"0"+AR13,IF(BQ14=$BP$11,"0"+AR13,"0"+AR13))))))</f>
        <v/>
      </c>
      <c r="AT14" s="38" t="str">
        <f>CONCATENATE($AU$11&amp;B14)</f>
        <v>W2</v>
      </c>
      <c r="AU14" s="38">
        <f>SUMIF($AY$13:$AY$46,AT14,$BD$13:$BD$46)</f>
        <v>0</v>
      </c>
      <c r="AY14" s="38" t="str">
        <f t="shared" ref="AY14:AY46" si="1">CONCATENATE(AJ14&amp;AL14)</f>
        <v/>
      </c>
      <c r="AZ14" s="38" t="str">
        <f t="shared" ref="AZ14:AZ46" si="2">IF(AE14=$AW$11,"2","0")</f>
        <v>0</v>
      </c>
      <c r="BA14" s="38" t="str">
        <f t="shared" ref="BA14:BA46" si="3">IF(AG14=$AW$11,"1","0")</f>
        <v>0</v>
      </c>
      <c r="BB14" s="38" t="str">
        <f t="shared" ref="BB14:BB46" si="4">IF(AF14=$AW$11,"1","0")</f>
        <v>0</v>
      </c>
      <c r="BC14" s="38">
        <f t="shared" ref="BC14:BC46" si="5">AZ14+BA14</f>
        <v>0</v>
      </c>
      <c r="BD14" s="38">
        <f t="shared" ref="BD14:BD46" si="6">BB14+0</f>
        <v>0</v>
      </c>
      <c r="BL14" s="38" t="str">
        <f t="shared" ref="BL14:BL46" si="7">IF(AE14="","",CONCATENATE($BL$12&amp;AJ14&amp;AE14))</f>
        <v/>
      </c>
      <c r="BM14" s="38" t="str">
        <f t="shared" ref="BM14:BM46" si="8">IF(AG14="","",CONCATENATE($BM$12&amp;AJ14&amp;AG14))</f>
        <v/>
      </c>
      <c r="BN14" s="38" t="str">
        <f t="shared" ref="BN14:BN46" si="9">IF(AF14="","",CONCATENATE($BN$12&amp;AJ14,AF14))</f>
        <v/>
      </c>
      <c r="BO14" s="38" t="str">
        <f t="shared" ref="BO14:BO46" si="10">IF(AH14="","",CONCATENATE($BO$12&amp;AJ14&amp;AH14))</f>
        <v/>
      </c>
      <c r="BP14" s="38" t="str">
        <f t="shared" ref="BP14:BP46" si="11">IF(AI14="","",CONCATENATE($BP$12&amp;AJ14&amp;AI14))</f>
        <v/>
      </c>
      <c r="BQ14" s="38" t="str">
        <f t="shared" ref="BQ14:BQ46" si="12">CONCATENATE(BL14&amp;BM14&amp;BN14&amp;BO14&amp;BP14)</f>
        <v/>
      </c>
    </row>
    <row r="15" spans="1:256" ht="15.6" x14ac:dyDescent="0.3">
      <c r="A15" s="275"/>
      <c r="B15" s="397">
        <f>IF(ISBLANK(HLOOKUP($F$10,spelerslijsten!$B$1:$J$22,6,FALSE)),"",HLOOKUP($F$10,spelerslijsten!$B$1:$J$22,6,FALSE))</f>
        <v>3</v>
      </c>
      <c r="C15" s="398"/>
      <c r="D15" s="121"/>
      <c r="E15" s="122" t="str">
        <f>IF(ISBLANK(HLOOKUP($F$10,spelerslijsten!$B$1:$J$22,5,FALSE)),"",HLOOKUP($F$10,spelerslijsten!$B$1:$J$22,5,FALSE))</f>
        <v>Kevin Kanters</v>
      </c>
      <c r="F15" s="123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08">
        <f t="shared" si="0"/>
        <v>0</v>
      </c>
      <c r="W15" s="109" t="str">
        <f t="shared" ref="W15:W23" si="13">IF(AU15&gt;0,"x","")</f>
        <v/>
      </c>
      <c r="X15" s="110" t="str">
        <f t="shared" ref="X15:X23" si="14">IF(AU15&gt;1,"x","")</f>
        <v/>
      </c>
      <c r="Y15" s="103" t="str">
        <f t="shared" ref="Y15:Y23" si="15">IF(AU15&gt;2,"x","")</f>
        <v/>
      </c>
      <c r="Z15" s="257"/>
      <c r="AA15" s="119"/>
      <c r="AB15" s="113" t="str">
        <f t="shared" ref="AB15:AB44" si="16">+AB14</f>
        <v>-</v>
      </c>
      <c r="AC15" s="119"/>
      <c r="AD15" s="272"/>
      <c r="AE15" s="108"/>
      <c r="AF15" s="108"/>
      <c r="AG15" s="273"/>
      <c r="AH15" s="274"/>
      <c r="AI15" s="274"/>
      <c r="AJ15" s="432"/>
      <c r="AK15" s="433"/>
      <c r="AL15" s="434"/>
      <c r="AM15" s="435"/>
      <c r="AN15" s="118"/>
      <c r="AO15" s="101" t="str">
        <f>IF(BQ15="","",IF(BQ15=$BL$10,"2"+AO14,IF(BQ15=$BM$10,"1"+AO14,IF(BQ15=$BN$10,"0"+AO14,IF(BQ15=$BO$10,"0"+AO14,IF(BQ15=$BP$10,"0"+AO14,"0"+AO14))))))</f>
        <v/>
      </c>
      <c r="AP15" s="113" t="str">
        <f>+AP14</f>
        <v>-</v>
      </c>
      <c r="AQ15" s="119"/>
      <c r="AR15" s="103" t="str">
        <f>IF(BQ15="","",IF(BQ15=$BL$11,"2"+AR14,IF(BQ15=$BM$11,"1"+AR14,IF(BQ15=$BN$11,"0"+AR14,IF(BQ15=$BO$11,"0"+AR14,IF(BQ15=$BP$11,"0"+AR14,"0"+AR14))))))</f>
        <v/>
      </c>
      <c r="AT15" s="38" t="str">
        <f t="shared" ref="AT15:AT23" si="17">CONCATENATE($AU$11&amp;B15)</f>
        <v>W3</v>
      </c>
      <c r="AU15" s="38">
        <f t="shared" ref="AU15:AU39" si="18">SUMIF($AY$13:$AY$46,AT15,$BD$13:$BD$46)</f>
        <v>0</v>
      </c>
      <c r="AY15" s="38" t="str">
        <f t="shared" si="1"/>
        <v/>
      </c>
      <c r="AZ15" s="38" t="str">
        <f t="shared" si="2"/>
        <v>0</v>
      </c>
      <c r="BA15" s="38" t="str">
        <f t="shared" si="3"/>
        <v>0</v>
      </c>
      <c r="BB15" s="38" t="str">
        <f t="shared" si="4"/>
        <v>0</v>
      </c>
      <c r="BC15" s="38">
        <f t="shared" si="5"/>
        <v>0</v>
      </c>
      <c r="BD15" s="38">
        <f t="shared" si="6"/>
        <v>0</v>
      </c>
      <c r="BL15" s="38" t="str">
        <f t="shared" si="7"/>
        <v/>
      </c>
      <c r="BM15" s="38" t="str">
        <f t="shared" si="8"/>
        <v/>
      </c>
      <c r="BN15" s="38" t="str">
        <f t="shared" si="9"/>
        <v/>
      </c>
      <c r="BO15" s="38" t="str">
        <f t="shared" si="10"/>
        <v/>
      </c>
      <c r="BP15" s="38" t="str">
        <f t="shared" si="11"/>
        <v/>
      </c>
      <c r="BQ15" s="38" t="str">
        <f t="shared" si="12"/>
        <v/>
      </c>
    </row>
    <row r="16" spans="1:256" ht="15.6" x14ac:dyDescent="0.3">
      <c r="A16" s="276"/>
      <c r="B16" s="397">
        <f>IF(ISBLANK(HLOOKUP($F$10,spelerslijsten!$B$1:$J$22,8,FALSE)),"",HLOOKUP($F$10,spelerslijsten!$B$1:$J$22,8,FALSE))</f>
        <v>4</v>
      </c>
      <c r="C16" s="398"/>
      <c r="D16" s="121"/>
      <c r="E16" s="122" t="str">
        <f>IF(ISBLANK(HLOOKUP($F$10,spelerslijsten!$B$1:$J$22,7,FALSE)),"",HLOOKUP($F$10,spelerslijsten!$B$1:$J$22,7,FALSE))</f>
        <v>Monique Schouten</v>
      </c>
      <c r="F16" s="12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08">
        <f t="shared" si="0"/>
        <v>0</v>
      </c>
      <c r="W16" s="109" t="str">
        <f t="shared" si="13"/>
        <v/>
      </c>
      <c r="X16" s="110" t="str">
        <f t="shared" si="14"/>
        <v/>
      </c>
      <c r="Y16" s="103" t="str">
        <f t="shared" si="15"/>
        <v/>
      </c>
      <c r="Z16" s="257"/>
      <c r="AA16" s="119"/>
      <c r="AB16" s="113" t="str">
        <f t="shared" si="16"/>
        <v>-</v>
      </c>
      <c r="AC16" s="119"/>
      <c r="AD16" s="272"/>
      <c r="AE16" s="108"/>
      <c r="AF16" s="108"/>
      <c r="AG16" s="273"/>
      <c r="AH16" s="274"/>
      <c r="AI16" s="274"/>
      <c r="AJ16" s="432"/>
      <c r="AK16" s="433"/>
      <c r="AL16" s="434"/>
      <c r="AM16" s="435"/>
      <c r="AN16" s="118"/>
      <c r="AO16" s="101" t="str">
        <f t="shared" ref="AO16:AO46" si="19">IF(BQ16="","",IF(BQ16=$BL$10,"2"+AO15,IF(BQ16=$BM$10,"1"+AO15,IF(BQ16=$BN$10,"0"+AO15,IF(BQ16=$BO$10,"0"+AO15,IF(BQ16=$BP$10,"0"+AO15,"0"+AO15))))))</f>
        <v/>
      </c>
      <c r="AP16" s="113" t="str">
        <f t="shared" ref="AP16:AP46" si="20">+AP15</f>
        <v>-</v>
      </c>
      <c r="AQ16" s="119"/>
      <c r="AR16" s="103" t="str">
        <f t="shared" ref="AR16:AR46" si="21">IF(BQ16="","",IF(BQ16=$BL$11,"2"+AR15,IF(BQ16=$BM$11,"1"+AR15,IF(BQ16=$BN$11,"0"+AR15,IF(BQ16=$BO$11,"0"+AR15,IF(BQ16=$BP$11,"0"+AR15,"0"+AR15))))))</f>
        <v/>
      </c>
      <c r="AT16" s="38" t="str">
        <f t="shared" si="17"/>
        <v>W4</v>
      </c>
      <c r="AU16" s="38">
        <f t="shared" si="18"/>
        <v>0</v>
      </c>
      <c r="AY16" s="38" t="str">
        <f t="shared" si="1"/>
        <v/>
      </c>
      <c r="AZ16" s="38" t="str">
        <f t="shared" si="2"/>
        <v>0</v>
      </c>
      <c r="BA16" s="38" t="str">
        <f t="shared" si="3"/>
        <v>0</v>
      </c>
      <c r="BB16" s="38" t="str">
        <f t="shared" si="4"/>
        <v>0</v>
      </c>
      <c r="BC16" s="38">
        <f t="shared" si="5"/>
        <v>0</v>
      </c>
      <c r="BD16" s="38">
        <f t="shared" si="6"/>
        <v>0</v>
      </c>
      <c r="BL16" s="38" t="str">
        <f t="shared" si="7"/>
        <v/>
      </c>
      <c r="BM16" s="38" t="str">
        <f t="shared" si="8"/>
        <v/>
      </c>
      <c r="BN16" s="38" t="str">
        <f t="shared" si="9"/>
        <v/>
      </c>
      <c r="BO16" s="38" t="str">
        <f t="shared" si="10"/>
        <v/>
      </c>
      <c r="BP16" s="38" t="str">
        <f t="shared" si="11"/>
        <v/>
      </c>
      <c r="BQ16" s="38" t="str">
        <f t="shared" si="12"/>
        <v/>
      </c>
    </row>
    <row r="17" spans="1:69" ht="15.6" x14ac:dyDescent="0.3">
      <c r="A17" s="276"/>
      <c r="B17" s="397">
        <f>IF(ISBLANK(HLOOKUP($F$10,spelerslijsten!$B$1:$J$22,10,FALSE)),"",HLOOKUP($F$10,spelerslijsten!$B$1:$J$22,10,FALSE))</f>
        <v>5</v>
      </c>
      <c r="C17" s="398"/>
      <c r="D17" s="121"/>
      <c r="E17" s="122" t="str">
        <f>IF(ISBLANK(HLOOKUP($F$10,spelerslijsten!$B$1:$J$22,9,FALSE)),"",HLOOKUP($F$10,spelerslijsten!$B$1:$J$22,9,FALSE))</f>
        <v>Miranda van Schaijk</v>
      </c>
      <c r="F17" s="12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08">
        <f t="shared" si="0"/>
        <v>0</v>
      </c>
      <c r="W17" s="109" t="str">
        <f t="shared" si="13"/>
        <v/>
      </c>
      <c r="X17" s="110" t="str">
        <f t="shared" si="14"/>
        <v/>
      </c>
      <c r="Y17" s="103" t="str">
        <f t="shared" si="15"/>
        <v/>
      </c>
      <c r="Z17" s="257"/>
      <c r="AA17" s="119"/>
      <c r="AB17" s="113" t="str">
        <f t="shared" si="16"/>
        <v>-</v>
      </c>
      <c r="AC17" s="119"/>
      <c r="AD17" s="272"/>
      <c r="AE17" s="108"/>
      <c r="AF17" s="108"/>
      <c r="AG17" s="273"/>
      <c r="AH17" s="274"/>
      <c r="AI17" s="274"/>
      <c r="AJ17" s="432"/>
      <c r="AK17" s="433"/>
      <c r="AL17" s="434"/>
      <c r="AM17" s="435"/>
      <c r="AN17" s="118"/>
      <c r="AO17" s="101" t="str">
        <f t="shared" si="19"/>
        <v/>
      </c>
      <c r="AP17" s="113" t="str">
        <f t="shared" si="20"/>
        <v>-</v>
      </c>
      <c r="AQ17" s="119"/>
      <c r="AR17" s="103" t="str">
        <f t="shared" si="21"/>
        <v/>
      </c>
      <c r="AT17" s="38" t="str">
        <f t="shared" si="17"/>
        <v>W5</v>
      </c>
      <c r="AU17" s="38">
        <f t="shared" si="18"/>
        <v>0</v>
      </c>
      <c r="AY17" s="38" t="str">
        <f t="shared" si="1"/>
        <v/>
      </c>
      <c r="AZ17" s="38" t="str">
        <f t="shared" si="2"/>
        <v>0</v>
      </c>
      <c r="BA17" s="38" t="str">
        <f t="shared" si="3"/>
        <v>0</v>
      </c>
      <c r="BB17" s="38" t="str">
        <f t="shared" si="4"/>
        <v>0</v>
      </c>
      <c r="BC17" s="38">
        <f t="shared" si="5"/>
        <v>0</v>
      </c>
      <c r="BD17" s="38">
        <f t="shared" si="6"/>
        <v>0</v>
      </c>
      <c r="BL17" s="38" t="str">
        <f t="shared" si="7"/>
        <v/>
      </c>
      <c r="BM17" s="38" t="str">
        <f t="shared" si="8"/>
        <v/>
      </c>
      <c r="BN17" s="38" t="str">
        <f t="shared" si="9"/>
        <v/>
      </c>
      <c r="BO17" s="38" t="str">
        <f t="shared" si="10"/>
        <v/>
      </c>
      <c r="BP17" s="38" t="str">
        <f t="shared" si="11"/>
        <v/>
      </c>
      <c r="BQ17" s="38" t="str">
        <f t="shared" si="12"/>
        <v/>
      </c>
    </row>
    <row r="18" spans="1:69" ht="15.6" x14ac:dyDescent="0.3">
      <c r="A18" s="276"/>
      <c r="B18" s="397">
        <f>IF(ISBLANK(HLOOKUP($F$10,spelerslijsten!$B$1:$J$22,12,FALSE)),"",HLOOKUP($F$10,spelerslijsten!$B$1:$J$22,12,FALSE))</f>
        <v>6</v>
      </c>
      <c r="C18" s="398"/>
      <c r="D18" s="121"/>
      <c r="E18" s="122" t="str">
        <f>IF(ISBLANK(HLOOKUP($F$10,spelerslijsten!$B$1:$J$22,11,FALSE)),"",HLOOKUP($F$10,spelerslijsten!$B$1:$J$22,11,FALSE))</f>
        <v>Jan Zegers</v>
      </c>
      <c r="F18" s="12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08">
        <f t="shared" si="0"/>
        <v>0</v>
      </c>
      <c r="W18" s="109" t="str">
        <f t="shared" si="13"/>
        <v/>
      </c>
      <c r="X18" s="110" t="str">
        <f t="shared" si="14"/>
        <v/>
      </c>
      <c r="Y18" s="103" t="str">
        <f t="shared" si="15"/>
        <v/>
      </c>
      <c r="Z18" s="257"/>
      <c r="AA18" s="119"/>
      <c r="AB18" s="113" t="s">
        <v>16</v>
      </c>
      <c r="AC18" s="119"/>
      <c r="AD18" s="272"/>
      <c r="AE18" s="108"/>
      <c r="AF18" s="108"/>
      <c r="AG18" s="273"/>
      <c r="AH18" s="274"/>
      <c r="AI18" s="274"/>
      <c r="AJ18" s="432"/>
      <c r="AK18" s="433"/>
      <c r="AL18" s="434"/>
      <c r="AM18" s="435"/>
      <c r="AN18" s="118"/>
      <c r="AO18" s="101" t="str">
        <f t="shared" si="19"/>
        <v/>
      </c>
      <c r="AP18" s="113" t="str">
        <f t="shared" si="20"/>
        <v>-</v>
      </c>
      <c r="AQ18" s="119"/>
      <c r="AR18" s="103" t="str">
        <f t="shared" si="21"/>
        <v/>
      </c>
      <c r="AT18" s="38" t="str">
        <f t="shared" si="17"/>
        <v>W6</v>
      </c>
      <c r="AU18" s="38">
        <f t="shared" si="18"/>
        <v>0</v>
      </c>
      <c r="AY18" s="38" t="str">
        <f t="shared" si="1"/>
        <v/>
      </c>
      <c r="AZ18" s="38" t="str">
        <f t="shared" si="2"/>
        <v>0</v>
      </c>
      <c r="BA18" s="38" t="str">
        <f t="shared" si="3"/>
        <v>0</v>
      </c>
      <c r="BB18" s="38" t="str">
        <f t="shared" si="4"/>
        <v>0</v>
      </c>
      <c r="BC18" s="38">
        <f t="shared" si="5"/>
        <v>0</v>
      </c>
      <c r="BD18" s="38">
        <f t="shared" si="6"/>
        <v>0</v>
      </c>
      <c r="BL18" s="38" t="str">
        <f t="shared" si="7"/>
        <v/>
      </c>
      <c r="BM18" s="38" t="str">
        <f t="shared" si="8"/>
        <v/>
      </c>
      <c r="BN18" s="38" t="str">
        <f t="shared" si="9"/>
        <v/>
      </c>
      <c r="BO18" s="38" t="str">
        <f t="shared" si="10"/>
        <v/>
      </c>
      <c r="BP18" s="38" t="str">
        <f t="shared" si="11"/>
        <v/>
      </c>
      <c r="BQ18" s="38" t="str">
        <f t="shared" si="12"/>
        <v/>
      </c>
    </row>
    <row r="19" spans="1:69" ht="15.6" x14ac:dyDescent="0.3">
      <c r="A19" s="276"/>
      <c r="B19" s="397">
        <f>IF(ISBLANK(HLOOKUP($F$10,spelerslijsten!$B$1:$J$22,14,FALSE)),"",HLOOKUP($F$10,spelerslijsten!$B$1:$J$22,14,FALSE))</f>
        <v>9</v>
      </c>
      <c r="C19" s="398"/>
      <c r="D19" s="121"/>
      <c r="E19" s="122" t="str">
        <f>IF(ISBLANK(HLOOKUP($F$10,spelerslijsten!$B$1:$J$22,13,FALSE)),"",HLOOKUP($F$10,spelerslijsten!$B$1:$J$22,13,FALSE))</f>
        <v>Christian Gibbels</v>
      </c>
      <c r="F19" s="12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08">
        <f t="shared" si="0"/>
        <v>0</v>
      </c>
      <c r="W19" s="109" t="str">
        <f t="shared" si="13"/>
        <v/>
      </c>
      <c r="X19" s="110" t="str">
        <f t="shared" si="14"/>
        <v/>
      </c>
      <c r="Y19" s="103" t="str">
        <f t="shared" si="15"/>
        <v/>
      </c>
      <c r="Z19" s="257"/>
      <c r="AA19" s="119"/>
      <c r="AB19" s="113" t="str">
        <f t="shared" si="16"/>
        <v>-</v>
      </c>
      <c r="AC19" s="119"/>
      <c r="AD19" s="272"/>
      <c r="AE19" s="108"/>
      <c r="AF19" s="108"/>
      <c r="AG19" s="273"/>
      <c r="AH19" s="274"/>
      <c r="AI19" s="274"/>
      <c r="AJ19" s="432"/>
      <c r="AK19" s="433"/>
      <c r="AL19" s="434"/>
      <c r="AM19" s="435"/>
      <c r="AN19" s="118"/>
      <c r="AO19" s="101" t="str">
        <f t="shared" si="19"/>
        <v/>
      </c>
      <c r="AP19" s="113" t="str">
        <f t="shared" si="20"/>
        <v>-</v>
      </c>
      <c r="AQ19" s="119"/>
      <c r="AR19" s="103" t="str">
        <f t="shared" si="21"/>
        <v/>
      </c>
      <c r="AT19" s="38" t="str">
        <f t="shared" si="17"/>
        <v>W9</v>
      </c>
      <c r="AU19" s="38">
        <f t="shared" si="18"/>
        <v>0</v>
      </c>
      <c r="AY19" s="38" t="str">
        <f t="shared" si="1"/>
        <v/>
      </c>
      <c r="AZ19" s="38" t="str">
        <f t="shared" si="2"/>
        <v>0</v>
      </c>
      <c r="BA19" s="38" t="str">
        <f t="shared" si="3"/>
        <v>0</v>
      </c>
      <c r="BB19" s="38" t="str">
        <f t="shared" si="4"/>
        <v>0</v>
      </c>
      <c r="BC19" s="38">
        <f t="shared" si="5"/>
        <v>0</v>
      </c>
      <c r="BD19" s="38">
        <f t="shared" si="6"/>
        <v>0</v>
      </c>
      <c r="BL19" s="38" t="str">
        <f t="shared" si="7"/>
        <v/>
      </c>
      <c r="BM19" s="38" t="str">
        <f t="shared" si="8"/>
        <v/>
      </c>
      <c r="BN19" s="38" t="str">
        <f t="shared" si="9"/>
        <v/>
      </c>
      <c r="BO19" s="38" t="str">
        <f t="shared" si="10"/>
        <v/>
      </c>
      <c r="BP19" s="38" t="str">
        <f t="shared" si="11"/>
        <v/>
      </c>
      <c r="BQ19" s="38" t="str">
        <f t="shared" si="12"/>
        <v/>
      </c>
    </row>
    <row r="20" spans="1:69" ht="15.6" x14ac:dyDescent="0.3">
      <c r="A20" s="276"/>
      <c r="B20" s="397">
        <f>IF(ISBLANK(HLOOKUP($F$10,spelerslijsten!$B$1:$J$22,16,FALSE)),"",HLOOKUP($F$10,spelerslijsten!$B$1:$J$22,16,FALSE))</f>
        <v>10</v>
      </c>
      <c r="C20" s="398"/>
      <c r="D20" s="121"/>
      <c r="E20" s="122" t="str">
        <f>IF(ISBLANK(HLOOKUP($F$10,spelerslijsten!$B$1:$J$22,15,FALSE)),"",HLOOKUP($F$10,spelerslijsten!$B$1:$J$22,15,FALSE))</f>
        <v>Stefan van der Wielen</v>
      </c>
      <c r="F20" s="12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08">
        <f t="shared" si="0"/>
        <v>0</v>
      </c>
      <c r="W20" s="109" t="str">
        <f t="shared" si="13"/>
        <v/>
      </c>
      <c r="X20" s="110" t="str">
        <f t="shared" si="14"/>
        <v/>
      </c>
      <c r="Y20" s="103" t="str">
        <f t="shared" si="15"/>
        <v/>
      </c>
      <c r="Z20" s="257"/>
      <c r="AA20" s="119"/>
      <c r="AB20" s="113" t="str">
        <f t="shared" si="16"/>
        <v>-</v>
      </c>
      <c r="AC20" s="119"/>
      <c r="AD20" s="272"/>
      <c r="AE20" s="108"/>
      <c r="AF20" s="108"/>
      <c r="AG20" s="273"/>
      <c r="AH20" s="274"/>
      <c r="AI20" s="274"/>
      <c r="AJ20" s="432"/>
      <c r="AK20" s="433"/>
      <c r="AL20" s="434"/>
      <c r="AM20" s="435"/>
      <c r="AN20" s="118"/>
      <c r="AO20" s="101" t="str">
        <f t="shared" si="19"/>
        <v/>
      </c>
      <c r="AP20" s="113" t="str">
        <f t="shared" si="20"/>
        <v>-</v>
      </c>
      <c r="AQ20" s="119"/>
      <c r="AR20" s="103" t="str">
        <f t="shared" si="21"/>
        <v/>
      </c>
      <c r="AT20" s="38" t="str">
        <f t="shared" si="17"/>
        <v>W10</v>
      </c>
      <c r="AU20" s="38">
        <f t="shared" si="18"/>
        <v>0</v>
      </c>
      <c r="AY20" s="38" t="str">
        <f t="shared" si="1"/>
        <v/>
      </c>
      <c r="AZ20" s="38" t="str">
        <f t="shared" si="2"/>
        <v>0</v>
      </c>
      <c r="BA20" s="38" t="str">
        <f t="shared" si="3"/>
        <v>0</v>
      </c>
      <c r="BB20" s="38" t="str">
        <f t="shared" si="4"/>
        <v>0</v>
      </c>
      <c r="BC20" s="38">
        <f t="shared" si="5"/>
        <v>0</v>
      </c>
      <c r="BD20" s="38">
        <f t="shared" si="6"/>
        <v>0</v>
      </c>
      <c r="BL20" s="38" t="str">
        <f t="shared" si="7"/>
        <v/>
      </c>
      <c r="BM20" s="38" t="str">
        <f t="shared" si="8"/>
        <v/>
      </c>
      <c r="BN20" s="38" t="str">
        <f t="shared" si="9"/>
        <v/>
      </c>
      <c r="BO20" s="38" t="str">
        <f t="shared" si="10"/>
        <v/>
      </c>
      <c r="BP20" s="38" t="str">
        <f t="shared" si="11"/>
        <v/>
      </c>
      <c r="BQ20" s="38" t="str">
        <f t="shared" si="12"/>
        <v/>
      </c>
    </row>
    <row r="21" spans="1:69" ht="15.6" x14ac:dyDescent="0.3">
      <c r="A21" s="276"/>
      <c r="B21" s="397" t="str">
        <f>IF(ISBLANK(HLOOKUP($F$10,spelerslijsten!$B$1:$J$22,18,FALSE)),"",HLOOKUP($F$10,spelerslijsten!$B$1:$J$22,18,FALSE))</f>
        <v/>
      </c>
      <c r="C21" s="398"/>
      <c r="D21" s="121"/>
      <c r="E21" s="122" t="str">
        <f>IF(ISBLANK(HLOOKUP($F$10,spelerslijsten!$B$1:$J$22,17,FALSE)),"",HLOOKUP($F$10,spelerslijsten!$B$1:$J$22,17,FALSE))</f>
        <v/>
      </c>
      <c r="F21" s="12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08">
        <f>SUMIF($AY$13:$AY$46,AT21,$BC$13:$BC$46)</f>
        <v>0</v>
      </c>
      <c r="W21" s="109" t="str">
        <f t="shared" si="13"/>
        <v/>
      </c>
      <c r="X21" s="110" t="str">
        <f t="shared" si="14"/>
        <v/>
      </c>
      <c r="Y21" s="103" t="str">
        <f t="shared" si="15"/>
        <v/>
      </c>
      <c r="Z21" s="257"/>
      <c r="AA21" s="119"/>
      <c r="AB21" s="113" t="str">
        <f t="shared" si="16"/>
        <v>-</v>
      </c>
      <c r="AC21" s="119"/>
      <c r="AD21" s="272"/>
      <c r="AE21" s="108"/>
      <c r="AF21" s="108"/>
      <c r="AG21" s="273"/>
      <c r="AH21" s="274"/>
      <c r="AI21" s="274"/>
      <c r="AJ21" s="432"/>
      <c r="AK21" s="433"/>
      <c r="AL21" s="434"/>
      <c r="AM21" s="435"/>
      <c r="AN21" s="118"/>
      <c r="AO21" s="101" t="str">
        <f t="shared" si="19"/>
        <v/>
      </c>
      <c r="AP21" s="113" t="str">
        <f t="shared" si="20"/>
        <v>-</v>
      </c>
      <c r="AQ21" s="119"/>
      <c r="AR21" s="103" t="str">
        <f t="shared" si="21"/>
        <v/>
      </c>
      <c r="AT21" s="38" t="str">
        <f t="shared" si="17"/>
        <v>W</v>
      </c>
      <c r="AU21" s="38">
        <f t="shared" si="18"/>
        <v>0</v>
      </c>
      <c r="AY21" s="38" t="str">
        <f t="shared" si="1"/>
        <v/>
      </c>
      <c r="AZ21" s="38" t="str">
        <f t="shared" si="2"/>
        <v>0</v>
      </c>
      <c r="BA21" s="38" t="str">
        <f t="shared" si="3"/>
        <v>0</v>
      </c>
      <c r="BB21" s="38" t="str">
        <f t="shared" si="4"/>
        <v>0</v>
      </c>
      <c r="BC21" s="38">
        <f t="shared" si="5"/>
        <v>0</v>
      </c>
      <c r="BD21" s="38">
        <f t="shared" si="6"/>
        <v>0</v>
      </c>
      <c r="BL21" s="38" t="str">
        <f t="shared" si="7"/>
        <v/>
      </c>
      <c r="BM21" s="38" t="str">
        <f t="shared" si="8"/>
        <v/>
      </c>
      <c r="BN21" s="38" t="str">
        <f t="shared" si="9"/>
        <v/>
      </c>
      <c r="BO21" s="38" t="str">
        <f t="shared" si="10"/>
        <v/>
      </c>
      <c r="BP21" s="38" t="str">
        <f t="shared" si="11"/>
        <v/>
      </c>
      <c r="BQ21" s="38" t="str">
        <f t="shared" si="12"/>
        <v/>
      </c>
    </row>
    <row r="22" spans="1:69" ht="15.6" x14ac:dyDescent="0.3">
      <c r="A22" s="276"/>
      <c r="B22" s="397" t="str">
        <f>IF(ISBLANK(HLOOKUP($F$10,spelerslijsten!$B$1:$J$22,20,FALSE)),"",HLOOKUP($F$10,spelerslijsten!$B$1:$J$22,20,FALSE))</f>
        <v/>
      </c>
      <c r="C22" s="398"/>
      <c r="D22" s="121"/>
      <c r="E22" s="122" t="str">
        <f>IF(ISBLANK(HLOOKUP($F$10,spelerslijsten!$B$1:$J$22,19,FALSE)),"",HLOOKUP($F$10,spelerslijsten!$B$1:$J$22,19,FALSE))</f>
        <v/>
      </c>
      <c r="F22" s="12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08">
        <f t="shared" ref="V22:V23" si="22">SUMIF($AY$13:$AY$46,AT22,$BC$13:$BC$46)</f>
        <v>0</v>
      </c>
      <c r="W22" s="109" t="str">
        <f t="shared" si="13"/>
        <v/>
      </c>
      <c r="X22" s="110" t="str">
        <f t="shared" si="14"/>
        <v/>
      </c>
      <c r="Y22" s="103" t="str">
        <f t="shared" si="15"/>
        <v/>
      </c>
      <c r="Z22" s="257"/>
      <c r="AA22" s="119"/>
      <c r="AB22" s="113" t="str">
        <f t="shared" si="16"/>
        <v>-</v>
      </c>
      <c r="AC22" s="119"/>
      <c r="AD22" s="272"/>
      <c r="AE22" s="108"/>
      <c r="AF22" s="108"/>
      <c r="AG22" s="273"/>
      <c r="AH22" s="274"/>
      <c r="AI22" s="274"/>
      <c r="AJ22" s="432"/>
      <c r="AK22" s="433"/>
      <c r="AL22" s="434"/>
      <c r="AM22" s="435"/>
      <c r="AN22" s="118"/>
      <c r="AO22" s="101" t="str">
        <f t="shared" si="19"/>
        <v/>
      </c>
      <c r="AP22" s="113" t="str">
        <f t="shared" si="20"/>
        <v>-</v>
      </c>
      <c r="AQ22" s="119"/>
      <c r="AR22" s="103" t="str">
        <f t="shared" si="21"/>
        <v/>
      </c>
      <c r="AT22" s="38" t="str">
        <f t="shared" si="17"/>
        <v>W</v>
      </c>
      <c r="AU22" s="38">
        <f t="shared" si="18"/>
        <v>0</v>
      </c>
      <c r="AY22" s="38" t="str">
        <f t="shared" si="1"/>
        <v/>
      </c>
      <c r="AZ22" s="38" t="str">
        <f t="shared" si="2"/>
        <v>0</v>
      </c>
      <c r="BA22" s="38" t="str">
        <f t="shared" si="3"/>
        <v>0</v>
      </c>
      <c r="BB22" s="38" t="str">
        <f t="shared" si="4"/>
        <v>0</v>
      </c>
      <c r="BC22" s="38">
        <f t="shared" si="5"/>
        <v>0</v>
      </c>
      <c r="BD22" s="38">
        <f t="shared" si="6"/>
        <v>0</v>
      </c>
      <c r="BL22" s="38" t="str">
        <f t="shared" si="7"/>
        <v/>
      </c>
      <c r="BM22" s="38" t="str">
        <f t="shared" si="8"/>
        <v/>
      </c>
      <c r="BN22" s="38" t="str">
        <f t="shared" si="9"/>
        <v/>
      </c>
      <c r="BO22" s="38" t="str">
        <f t="shared" si="10"/>
        <v/>
      </c>
      <c r="BP22" s="38" t="str">
        <f t="shared" si="11"/>
        <v/>
      </c>
      <c r="BQ22" s="38" t="str">
        <f t="shared" si="12"/>
        <v/>
      </c>
    </row>
    <row r="23" spans="1:69" ht="15.6" x14ac:dyDescent="0.3">
      <c r="A23" s="277"/>
      <c r="B23" s="397" t="str">
        <f>IF(ISBLANK(HLOOKUP($F$10,spelerslijsten!$B$1:$J$22,22,FALSE)),"",HLOOKUP($F$10,spelerslijsten!$B$1:$J$22,22,FALSE))</f>
        <v/>
      </c>
      <c r="C23" s="398"/>
      <c r="D23" s="126"/>
      <c r="E23" s="259" t="str">
        <f>IF(ISBLANK(HLOOKUP($F$10,spelerslijsten!$B$1:$J$22,21,FALSE)),"",HLOOKUP($F$10,spelerslijsten!$B$1:$J$22,21,FALSE))</f>
        <v/>
      </c>
      <c r="F23" s="126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08">
        <f t="shared" si="22"/>
        <v>0</v>
      </c>
      <c r="W23" s="109" t="str">
        <f t="shared" si="13"/>
        <v/>
      </c>
      <c r="X23" s="110" t="str">
        <f t="shared" si="14"/>
        <v/>
      </c>
      <c r="Y23" s="103" t="str">
        <f t="shared" si="15"/>
        <v/>
      </c>
      <c r="Z23" s="257"/>
      <c r="AA23" s="119"/>
      <c r="AB23" s="113" t="str">
        <f t="shared" si="16"/>
        <v>-</v>
      </c>
      <c r="AC23" s="119"/>
      <c r="AD23" s="272"/>
      <c r="AE23" s="108"/>
      <c r="AF23" s="108"/>
      <c r="AG23" s="273"/>
      <c r="AH23" s="274"/>
      <c r="AI23" s="274"/>
      <c r="AJ23" s="432"/>
      <c r="AK23" s="433"/>
      <c r="AL23" s="434"/>
      <c r="AM23" s="435"/>
      <c r="AN23" s="118"/>
      <c r="AO23" s="101" t="str">
        <f t="shared" si="19"/>
        <v/>
      </c>
      <c r="AP23" s="113" t="str">
        <f t="shared" si="20"/>
        <v>-</v>
      </c>
      <c r="AQ23" s="119"/>
      <c r="AR23" s="103" t="str">
        <f t="shared" si="21"/>
        <v/>
      </c>
      <c r="AT23" s="38" t="str">
        <f t="shared" si="17"/>
        <v>W</v>
      </c>
      <c r="AU23" s="38">
        <f t="shared" si="18"/>
        <v>0</v>
      </c>
      <c r="AY23" s="38" t="str">
        <f t="shared" si="1"/>
        <v/>
      </c>
      <c r="AZ23" s="38" t="str">
        <f t="shared" si="2"/>
        <v>0</v>
      </c>
      <c r="BA23" s="38" t="str">
        <f t="shared" si="3"/>
        <v>0</v>
      </c>
      <c r="BB23" s="38" t="str">
        <f t="shared" si="4"/>
        <v>0</v>
      </c>
      <c r="BC23" s="38">
        <f t="shared" si="5"/>
        <v>0</v>
      </c>
      <c r="BD23" s="38">
        <f t="shared" si="6"/>
        <v>0</v>
      </c>
      <c r="BL23" s="38" t="str">
        <f t="shared" si="7"/>
        <v/>
      </c>
      <c r="BM23" s="38" t="str">
        <f t="shared" si="8"/>
        <v/>
      </c>
      <c r="BN23" s="38" t="str">
        <f t="shared" si="9"/>
        <v/>
      </c>
      <c r="BO23" s="38" t="str">
        <f t="shared" si="10"/>
        <v/>
      </c>
      <c r="BP23" s="38" t="str">
        <f t="shared" si="11"/>
        <v/>
      </c>
      <c r="BQ23" s="38" t="str">
        <f t="shared" si="12"/>
        <v/>
      </c>
    </row>
    <row r="24" spans="1:69" ht="16.2" thickBot="1" x14ac:dyDescent="0.35">
      <c r="A24" s="71" t="s">
        <v>67</v>
      </c>
      <c r="B24" s="72"/>
      <c r="C24" s="72"/>
      <c r="D24" s="72"/>
      <c r="E24" s="72"/>
      <c r="F24" s="72"/>
      <c r="G24" s="72"/>
      <c r="I24" s="399">
        <f>HLOOKUP(F10,spelerslijsten!B1:J25,25,FALSE)</f>
        <v>2</v>
      </c>
      <c r="J24" s="400"/>
      <c r="K24" s="74" t="s">
        <v>23</v>
      </c>
      <c r="L24" s="72"/>
      <c r="M24" s="72"/>
      <c r="N24" s="129" t="str">
        <f>HLOOKUP(F10,spelerslijsten!B1:J25,23,FALSE)</f>
        <v>Mieke Reijnders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30"/>
      <c r="Z24" s="258"/>
      <c r="AA24" s="278"/>
      <c r="AB24" s="133" t="str">
        <f t="shared" si="16"/>
        <v>-</v>
      </c>
      <c r="AC24" s="278"/>
      <c r="AD24" s="279"/>
      <c r="AE24" s="280"/>
      <c r="AF24" s="280"/>
      <c r="AG24" s="281"/>
      <c r="AH24" s="282"/>
      <c r="AI24" s="282"/>
      <c r="AJ24" s="432"/>
      <c r="AK24" s="433"/>
      <c r="AL24" s="445"/>
      <c r="AM24" s="446"/>
      <c r="AN24" s="138"/>
      <c r="AO24" s="101" t="str">
        <f t="shared" si="19"/>
        <v/>
      </c>
      <c r="AP24" s="113" t="str">
        <f t="shared" si="20"/>
        <v>-</v>
      </c>
      <c r="AQ24" s="119"/>
      <c r="AR24" s="103" t="str">
        <f t="shared" si="21"/>
        <v/>
      </c>
      <c r="AY24" s="38" t="str">
        <f t="shared" si="1"/>
        <v/>
      </c>
      <c r="AZ24" s="38" t="str">
        <f t="shared" si="2"/>
        <v>0</v>
      </c>
      <c r="BA24" s="38" t="str">
        <f t="shared" si="3"/>
        <v>0</v>
      </c>
      <c r="BB24" s="38" t="str">
        <f t="shared" si="4"/>
        <v>0</v>
      </c>
      <c r="BC24" s="38">
        <f t="shared" si="5"/>
        <v>0</v>
      </c>
      <c r="BD24" s="38">
        <f t="shared" si="6"/>
        <v>0</v>
      </c>
      <c r="BL24" s="38" t="str">
        <f t="shared" si="7"/>
        <v/>
      </c>
      <c r="BM24" s="38" t="str">
        <f t="shared" si="8"/>
        <v/>
      </c>
      <c r="BN24" s="38" t="str">
        <f t="shared" si="9"/>
        <v/>
      </c>
      <c r="BO24" s="38" t="str">
        <f t="shared" si="10"/>
        <v/>
      </c>
      <c r="BP24" s="38" t="str">
        <f t="shared" si="11"/>
        <v/>
      </c>
      <c r="BQ24" s="38" t="str">
        <f t="shared" si="12"/>
        <v/>
      </c>
    </row>
    <row r="25" spans="1:69" ht="15" customHeight="1" x14ac:dyDescent="0.3">
      <c r="A25" s="78" t="s">
        <v>60</v>
      </c>
      <c r="B25" s="79"/>
      <c r="C25" s="79"/>
      <c r="D25" s="79"/>
      <c r="E25" s="79"/>
      <c r="F25" s="356" t="str">
        <f>+AC7</f>
        <v>RZ Roermond</v>
      </c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7"/>
      <c r="Z25" s="283"/>
      <c r="AA25" s="284"/>
      <c r="AB25" s="141" t="str">
        <f t="shared" si="16"/>
        <v>-</v>
      </c>
      <c r="AC25" s="284"/>
      <c r="AD25" s="285"/>
      <c r="AE25" s="286"/>
      <c r="AF25" s="286"/>
      <c r="AG25" s="287"/>
      <c r="AH25" s="288"/>
      <c r="AI25" s="288"/>
      <c r="AJ25" s="432"/>
      <c r="AK25" s="433"/>
      <c r="AL25" s="434"/>
      <c r="AM25" s="435"/>
      <c r="AN25" s="146"/>
      <c r="AO25" s="101" t="str">
        <f t="shared" si="19"/>
        <v/>
      </c>
      <c r="AP25" s="113" t="str">
        <f t="shared" si="20"/>
        <v>-</v>
      </c>
      <c r="AQ25" s="119"/>
      <c r="AR25" s="103" t="str">
        <f t="shared" si="21"/>
        <v/>
      </c>
      <c r="AY25" s="38" t="str">
        <f t="shared" si="1"/>
        <v/>
      </c>
      <c r="AZ25" s="38" t="str">
        <f t="shared" si="2"/>
        <v>0</v>
      </c>
      <c r="BA25" s="38" t="str">
        <f t="shared" si="3"/>
        <v>0</v>
      </c>
      <c r="BB25" s="38" t="str">
        <f t="shared" si="4"/>
        <v>0</v>
      </c>
      <c r="BC25" s="38">
        <f t="shared" si="5"/>
        <v>0</v>
      </c>
      <c r="BD25" s="38">
        <f t="shared" si="6"/>
        <v>0</v>
      </c>
      <c r="BL25" s="38" t="str">
        <f t="shared" si="7"/>
        <v/>
      </c>
      <c r="BM25" s="38" t="str">
        <f t="shared" si="8"/>
        <v/>
      </c>
      <c r="BN25" s="38" t="str">
        <f t="shared" si="9"/>
        <v/>
      </c>
      <c r="BO25" s="38" t="str">
        <f t="shared" si="10"/>
        <v/>
      </c>
      <c r="BP25" s="38" t="str">
        <f t="shared" si="11"/>
        <v/>
      </c>
      <c r="BQ25" s="38" t="str">
        <f t="shared" si="12"/>
        <v/>
      </c>
    </row>
    <row r="26" spans="1:69" ht="15" customHeight="1" x14ac:dyDescent="0.3">
      <c r="A26" s="393" t="s">
        <v>24</v>
      </c>
      <c r="B26" s="394"/>
      <c r="C26" s="394"/>
      <c r="D26" s="394"/>
      <c r="E26" s="81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9"/>
      <c r="Z26" s="283"/>
      <c r="AA26" s="284"/>
      <c r="AB26" s="141" t="s">
        <v>16</v>
      </c>
      <c r="AC26" s="284"/>
      <c r="AD26" s="285"/>
      <c r="AE26" s="286"/>
      <c r="AF26" s="286"/>
      <c r="AG26" s="287"/>
      <c r="AH26" s="288"/>
      <c r="AI26" s="288"/>
      <c r="AJ26" s="432"/>
      <c r="AK26" s="433"/>
      <c r="AL26" s="434"/>
      <c r="AM26" s="435"/>
      <c r="AN26" s="146"/>
      <c r="AO26" s="101" t="str">
        <f t="shared" si="19"/>
        <v/>
      </c>
      <c r="AP26" s="113" t="str">
        <f t="shared" si="20"/>
        <v>-</v>
      </c>
      <c r="AQ26" s="119"/>
      <c r="AR26" s="103" t="str">
        <f t="shared" si="21"/>
        <v/>
      </c>
      <c r="AY26" s="38" t="str">
        <f t="shared" si="1"/>
        <v/>
      </c>
      <c r="AZ26" s="38" t="str">
        <f t="shared" si="2"/>
        <v>0</v>
      </c>
      <c r="BA26" s="38" t="str">
        <f t="shared" si="3"/>
        <v>0</v>
      </c>
      <c r="BB26" s="38" t="str">
        <f t="shared" si="4"/>
        <v>0</v>
      </c>
      <c r="BC26" s="38">
        <f t="shared" si="5"/>
        <v>0</v>
      </c>
      <c r="BD26" s="38">
        <f t="shared" si="6"/>
        <v>0</v>
      </c>
      <c r="BL26" s="38" t="str">
        <f t="shared" si="7"/>
        <v/>
      </c>
      <c r="BM26" s="38" t="str">
        <f t="shared" si="8"/>
        <v/>
      </c>
      <c r="BN26" s="38" t="str">
        <f t="shared" si="9"/>
        <v/>
      </c>
      <c r="BO26" s="38" t="str">
        <f t="shared" si="10"/>
        <v/>
      </c>
      <c r="BP26" s="38" t="str">
        <f t="shared" si="11"/>
        <v/>
      </c>
      <c r="BQ26" s="38" t="str">
        <f t="shared" si="12"/>
        <v/>
      </c>
    </row>
    <row r="27" spans="1:69" ht="15.6" x14ac:dyDescent="0.3">
      <c r="A27" s="393"/>
      <c r="B27" s="394"/>
      <c r="C27" s="394"/>
      <c r="D27" s="394"/>
      <c r="E27" s="81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9"/>
      <c r="Z27" s="283"/>
      <c r="AA27" s="284"/>
      <c r="AB27" s="141" t="s">
        <v>16</v>
      </c>
      <c r="AC27" s="284"/>
      <c r="AD27" s="285"/>
      <c r="AE27" s="286"/>
      <c r="AF27" s="286"/>
      <c r="AG27" s="287"/>
      <c r="AH27" s="288"/>
      <c r="AI27" s="288"/>
      <c r="AJ27" s="432"/>
      <c r="AK27" s="433"/>
      <c r="AL27" s="434"/>
      <c r="AM27" s="435"/>
      <c r="AN27" s="146"/>
      <c r="AO27" s="101" t="str">
        <f t="shared" si="19"/>
        <v/>
      </c>
      <c r="AP27" s="113" t="str">
        <f t="shared" si="20"/>
        <v>-</v>
      </c>
      <c r="AQ27" s="119"/>
      <c r="AR27" s="103" t="str">
        <f t="shared" si="21"/>
        <v/>
      </c>
      <c r="AY27" s="38" t="str">
        <f t="shared" si="1"/>
        <v/>
      </c>
      <c r="AZ27" s="38" t="str">
        <f t="shared" si="2"/>
        <v>0</v>
      </c>
      <c r="BA27" s="38" t="str">
        <f t="shared" si="3"/>
        <v>0</v>
      </c>
      <c r="BB27" s="38" t="str">
        <f t="shared" si="4"/>
        <v>0</v>
      </c>
      <c r="BC27" s="38">
        <f t="shared" si="5"/>
        <v>0</v>
      </c>
      <c r="BD27" s="38">
        <f t="shared" si="6"/>
        <v>0</v>
      </c>
      <c r="BL27" s="38" t="str">
        <f t="shared" si="7"/>
        <v/>
      </c>
      <c r="BM27" s="38" t="str">
        <f t="shared" si="8"/>
        <v/>
      </c>
      <c r="BN27" s="38" t="str">
        <f t="shared" si="9"/>
        <v/>
      </c>
      <c r="BO27" s="38" t="str">
        <f t="shared" si="10"/>
        <v/>
      </c>
      <c r="BP27" s="38" t="str">
        <f t="shared" si="11"/>
        <v/>
      </c>
      <c r="BQ27" s="38" t="str">
        <f t="shared" si="12"/>
        <v/>
      </c>
    </row>
    <row r="28" spans="1:69" ht="15.6" x14ac:dyDescent="0.3">
      <c r="A28" s="395"/>
      <c r="B28" s="396"/>
      <c r="C28" s="396"/>
      <c r="D28" s="396"/>
      <c r="E28" s="81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1"/>
      <c r="Z28" s="289"/>
      <c r="AA28" s="284"/>
      <c r="AB28" s="148" t="str">
        <f>+AB25</f>
        <v>-</v>
      </c>
      <c r="AC28" s="284"/>
      <c r="AD28" s="285"/>
      <c r="AE28" s="286"/>
      <c r="AF28" s="286"/>
      <c r="AG28" s="287"/>
      <c r="AH28" s="288"/>
      <c r="AI28" s="288"/>
      <c r="AJ28" s="432"/>
      <c r="AK28" s="433"/>
      <c r="AL28" s="434"/>
      <c r="AM28" s="435"/>
      <c r="AN28" s="146"/>
      <c r="AO28" s="101" t="str">
        <f t="shared" si="19"/>
        <v/>
      </c>
      <c r="AP28" s="113" t="str">
        <f t="shared" si="20"/>
        <v>-</v>
      </c>
      <c r="AQ28" s="119"/>
      <c r="AR28" s="103" t="str">
        <f t="shared" si="21"/>
        <v/>
      </c>
      <c r="AY28" s="38" t="str">
        <f t="shared" si="1"/>
        <v/>
      </c>
      <c r="AZ28" s="38" t="str">
        <f t="shared" si="2"/>
        <v>0</v>
      </c>
      <c r="BA28" s="38" t="str">
        <f t="shared" si="3"/>
        <v>0</v>
      </c>
      <c r="BB28" s="38" t="str">
        <f t="shared" si="4"/>
        <v>0</v>
      </c>
      <c r="BC28" s="38">
        <f t="shared" si="5"/>
        <v>0</v>
      </c>
      <c r="BD28" s="38">
        <f t="shared" si="6"/>
        <v>0</v>
      </c>
      <c r="BL28" s="38" t="str">
        <f t="shared" si="7"/>
        <v/>
      </c>
      <c r="BM28" s="38" t="str">
        <f t="shared" si="8"/>
        <v/>
      </c>
      <c r="BN28" s="38" t="str">
        <f t="shared" si="9"/>
        <v/>
      </c>
      <c r="BO28" s="38" t="str">
        <f t="shared" si="10"/>
        <v/>
      </c>
      <c r="BP28" s="38" t="str">
        <f t="shared" si="11"/>
        <v/>
      </c>
      <c r="BQ28" s="38" t="str">
        <f t="shared" si="12"/>
        <v/>
      </c>
    </row>
    <row r="29" spans="1:69" ht="15.6" x14ac:dyDescent="0.3">
      <c r="A29" s="86" t="s">
        <v>0</v>
      </c>
      <c r="B29" s="87" t="s">
        <v>1</v>
      </c>
      <c r="C29" s="64"/>
      <c r="D29" s="89"/>
      <c r="E29" s="88" t="s">
        <v>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90"/>
      <c r="V29" s="91" t="s">
        <v>3</v>
      </c>
      <c r="W29" s="91" t="s">
        <v>4</v>
      </c>
      <c r="X29" s="91" t="s">
        <v>5</v>
      </c>
      <c r="Y29" s="92" t="s">
        <v>6</v>
      </c>
      <c r="Z29" s="257"/>
      <c r="AA29" s="53"/>
      <c r="AB29" s="150" t="str">
        <f t="shared" si="16"/>
        <v>-</v>
      </c>
      <c r="AC29" s="53"/>
      <c r="AD29" s="290"/>
      <c r="AE29" s="291"/>
      <c r="AF29" s="291"/>
      <c r="AG29" s="292"/>
      <c r="AH29" s="293"/>
      <c r="AI29" s="293"/>
      <c r="AJ29" s="432"/>
      <c r="AK29" s="433"/>
      <c r="AL29" s="443"/>
      <c r="AM29" s="444"/>
      <c r="AN29" s="155"/>
      <c r="AO29" s="101" t="str">
        <f t="shared" si="19"/>
        <v/>
      </c>
      <c r="AP29" s="113" t="str">
        <f t="shared" si="20"/>
        <v>-</v>
      </c>
      <c r="AQ29" s="119"/>
      <c r="AR29" s="103" t="str">
        <f t="shared" si="21"/>
        <v/>
      </c>
      <c r="AY29" s="38" t="str">
        <f t="shared" si="1"/>
        <v/>
      </c>
      <c r="AZ29" s="38" t="str">
        <f t="shared" si="2"/>
        <v>0</v>
      </c>
      <c r="BA29" s="38" t="str">
        <f t="shared" si="3"/>
        <v>0</v>
      </c>
      <c r="BB29" s="38" t="str">
        <f t="shared" si="4"/>
        <v>0</v>
      </c>
      <c r="BC29" s="38">
        <f t="shared" si="5"/>
        <v>0</v>
      </c>
      <c r="BD29" s="38">
        <f t="shared" si="6"/>
        <v>0</v>
      </c>
      <c r="BL29" s="38" t="str">
        <f t="shared" si="7"/>
        <v/>
      </c>
      <c r="BM29" s="38" t="str">
        <f t="shared" si="8"/>
        <v/>
      </c>
      <c r="BN29" s="38" t="str">
        <f t="shared" si="9"/>
        <v/>
      </c>
      <c r="BO29" s="38" t="str">
        <f t="shared" si="10"/>
        <v/>
      </c>
      <c r="BP29" s="38" t="str">
        <f t="shared" si="11"/>
        <v/>
      </c>
      <c r="BQ29" s="38" t="str">
        <f t="shared" si="12"/>
        <v/>
      </c>
    </row>
    <row r="30" spans="1:69" ht="15.6" x14ac:dyDescent="0.3">
      <c r="A30" s="271"/>
      <c r="B30" s="397">
        <f>IF(ISBLANK(HLOOKUP($F$25,spelerslijsten!$B$1:$J$22,4,FALSE)),"",HLOOKUP($F$25,spelerslijsten!$B$1:$J$22,4,FALSE))</f>
        <v>3</v>
      </c>
      <c r="C30" s="398"/>
      <c r="D30" s="105"/>
      <c r="E30" s="106" t="str">
        <f>IF(ISBLANK(HLOOKUP($F$25,spelerslijsten!$B$1:$J$22,3,FALSE)),"",HLOOKUP($F$25,spelerslijsten!$B$1:$J$22,3,FALSE))</f>
        <v>Helga Addink</v>
      </c>
      <c r="F30" s="105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8">
        <f t="shared" ref="V30:V39" si="23">SUMIF($AY$13:$AY$46,AT30,$BC$13:$BC$46)</f>
        <v>0</v>
      </c>
      <c r="W30" s="109" t="str">
        <f>IF(AU30&gt;0,"x","")</f>
        <v/>
      </c>
      <c r="X30" s="110" t="str">
        <f>IF(AU30&gt;1,"x","")</f>
        <v/>
      </c>
      <c r="Y30" s="103" t="str">
        <f>IF(AU30&gt;2,"x","")</f>
        <v/>
      </c>
      <c r="Z30" s="257"/>
      <c r="AA30" s="119"/>
      <c r="AB30" s="113" t="str">
        <f t="shared" si="16"/>
        <v>-</v>
      </c>
      <c r="AC30" s="119"/>
      <c r="AD30" s="272"/>
      <c r="AE30" s="108"/>
      <c r="AF30" s="108"/>
      <c r="AG30" s="273"/>
      <c r="AH30" s="274"/>
      <c r="AI30" s="274"/>
      <c r="AJ30" s="432"/>
      <c r="AK30" s="433"/>
      <c r="AL30" s="434"/>
      <c r="AM30" s="435"/>
      <c r="AN30" s="118"/>
      <c r="AO30" s="101" t="str">
        <f t="shared" si="19"/>
        <v/>
      </c>
      <c r="AP30" s="113" t="str">
        <f t="shared" si="20"/>
        <v>-</v>
      </c>
      <c r="AQ30" s="119"/>
      <c r="AR30" s="103" t="str">
        <f t="shared" si="21"/>
        <v/>
      </c>
      <c r="AT30" s="38" t="str">
        <f>CONCATENATE($AV$11&amp;B30)</f>
        <v>B3</v>
      </c>
      <c r="AU30" s="38">
        <f t="shared" si="18"/>
        <v>0</v>
      </c>
      <c r="AY30" s="38" t="str">
        <f t="shared" si="1"/>
        <v/>
      </c>
      <c r="AZ30" s="38" t="str">
        <f t="shared" si="2"/>
        <v>0</v>
      </c>
      <c r="BA30" s="38" t="str">
        <f t="shared" si="3"/>
        <v>0</v>
      </c>
      <c r="BB30" s="38" t="str">
        <f t="shared" si="4"/>
        <v>0</v>
      </c>
      <c r="BC30" s="38">
        <f t="shared" si="5"/>
        <v>0</v>
      </c>
      <c r="BD30" s="38">
        <f t="shared" si="6"/>
        <v>0</v>
      </c>
      <c r="BL30" s="38" t="str">
        <f t="shared" si="7"/>
        <v/>
      </c>
      <c r="BM30" s="38" t="str">
        <f t="shared" si="8"/>
        <v/>
      </c>
      <c r="BN30" s="38" t="str">
        <f t="shared" si="9"/>
        <v/>
      </c>
      <c r="BO30" s="38" t="str">
        <f t="shared" si="10"/>
        <v/>
      </c>
      <c r="BP30" s="38" t="str">
        <f t="shared" si="11"/>
        <v/>
      </c>
      <c r="BQ30" s="38" t="str">
        <f t="shared" si="12"/>
        <v/>
      </c>
    </row>
    <row r="31" spans="1:69" ht="15.6" x14ac:dyDescent="0.3">
      <c r="A31" s="275"/>
      <c r="B31" s="397">
        <f>IF(ISBLANK(HLOOKUP($F$25,spelerslijsten!$B$1:$J$22,6,FALSE)),"",HLOOKUP($F$25,spelerslijsten!$B$1:$J$22,6,FALSE))</f>
        <v>4</v>
      </c>
      <c r="C31" s="398"/>
      <c r="D31" s="121"/>
      <c r="E31" s="122" t="str">
        <f>IF(ISBLANK(HLOOKUP($F$25,spelerslijsten!$B$1:$J$22,5,FALSE)),"",HLOOKUP($F$25,spelerslijsten!$B$1:$J$22,5,FALSE))</f>
        <v>Werner Dudek</v>
      </c>
      <c r="F31" s="12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08">
        <f t="shared" si="23"/>
        <v>0</v>
      </c>
      <c r="W31" s="109" t="str">
        <f t="shared" ref="W31:W39" si="24">IF(AU31&gt;0,"x","")</f>
        <v/>
      </c>
      <c r="X31" s="110" t="str">
        <f t="shared" ref="X31:X39" si="25">IF(AU31&gt;1,"x","")</f>
        <v/>
      </c>
      <c r="Y31" s="103" t="str">
        <f t="shared" ref="Y31:Y39" si="26">IF(AU31&gt;2,"x","")</f>
        <v/>
      </c>
      <c r="Z31" s="257"/>
      <c r="AA31" s="119"/>
      <c r="AB31" s="113" t="str">
        <f t="shared" si="16"/>
        <v>-</v>
      </c>
      <c r="AC31" s="119"/>
      <c r="AD31" s="272"/>
      <c r="AE31" s="108"/>
      <c r="AF31" s="108"/>
      <c r="AG31" s="273"/>
      <c r="AH31" s="274"/>
      <c r="AI31" s="274"/>
      <c r="AJ31" s="432"/>
      <c r="AK31" s="433"/>
      <c r="AL31" s="434"/>
      <c r="AM31" s="435"/>
      <c r="AN31" s="118"/>
      <c r="AO31" s="101" t="str">
        <f t="shared" si="19"/>
        <v/>
      </c>
      <c r="AP31" s="113" t="str">
        <f t="shared" si="20"/>
        <v>-</v>
      </c>
      <c r="AQ31" s="119"/>
      <c r="AR31" s="103" t="str">
        <f t="shared" si="21"/>
        <v/>
      </c>
      <c r="AT31" s="38" t="str">
        <f t="shared" ref="AT31:AT39" si="27">CONCATENATE($AV$11&amp;B31)</f>
        <v>B4</v>
      </c>
      <c r="AU31" s="38">
        <f t="shared" si="18"/>
        <v>0</v>
      </c>
      <c r="AY31" s="38" t="str">
        <f t="shared" si="1"/>
        <v/>
      </c>
      <c r="AZ31" s="38" t="str">
        <f t="shared" si="2"/>
        <v>0</v>
      </c>
      <c r="BA31" s="38" t="str">
        <f t="shared" si="3"/>
        <v>0</v>
      </c>
      <c r="BB31" s="38" t="str">
        <f t="shared" si="4"/>
        <v>0</v>
      </c>
      <c r="BC31" s="38">
        <f t="shared" si="5"/>
        <v>0</v>
      </c>
      <c r="BD31" s="38">
        <f t="shared" si="6"/>
        <v>0</v>
      </c>
      <c r="BL31" s="38" t="str">
        <f t="shared" si="7"/>
        <v/>
      </c>
      <c r="BM31" s="38" t="str">
        <f t="shared" si="8"/>
        <v/>
      </c>
      <c r="BN31" s="38" t="str">
        <f t="shared" si="9"/>
        <v/>
      </c>
      <c r="BO31" s="38" t="str">
        <f t="shared" si="10"/>
        <v/>
      </c>
      <c r="BP31" s="38" t="str">
        <f t="shared" si="11"/>
        <v/>
      </c>
      <c r="BQ31" s="38" t="str">
        <f t="shared" si="12"/>
        <v/>
      </c>
    </row>
    <row r="32" spans="1:69" ht="15.6" x14ac:dyDescent="0.3">
      <c r="A32" s="276"/>
      <c r="B32" s="397">
        <f>IF(ISBLANK(HLOOKUP($F$25,spelerslijsten!$B$1:$J$22,8,FALSE)),"",HLOOKUP($F$25,spelerslijsten!$B$1:$J$22,8,FALSE))</f>
        <v>5</v>
      </c>
      <c r="C32" s="398"/>
      <c r="D32" s="121"/>
      <c r="E32" s="122" t="str">
        <f>IF(ISBLANK(HLOOKUP($F$25,spelerslijsten!$B$1:$J$22,7,FALSE)),"",HLOOKUP($F$25,spelerslijsten!$B$1:$J$22,7,FALSE))</f>
        <v>Luc Mulder</v>
      </c>
      <c r="F32" s="12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08">
        <f t="shared" si="23"/>
        <v>0</v>
      </c>
      <c r="W32" s="109" t="str">
        <f t="shared" si="24"/>
        <v/>
      </c>
      <c r="X32" s="110" t="str">
        <f t="shared" si="25"/>
        <v/>
      </c>
      <c r="Y32" s="103" t="str">
        <f t="shared" si="26"/>
        <v/>
      </c>
      <c r="Z32" s="257"/>
      <c r="AA32" s="119"/>
      <c r="AB32" s="113" t="str">
        <f t="shared" si="16"/>
        <v>-</v>
      </c>
      <c r="AC32" s="119"/>
      <c r="AD32" s="272"/>
      <c r="AE32" s="108"/>
      <c r="AF32" s="108"/>
      <c r="AG32" s="273"/>
      <c r="AH32" s="274"/>
      <c r="AI32" s="274"/>
      <c r="AJ32" s="432"/>
      <c r="AK32" s="433"/>
      <c r="AL32" s="434"/>
      <c r="AM32" s="435"/>
      <c r="AN32" s="118"/>
      <c r="AO32" s="101" t="str">
        <f t="shared" si="19"/>
        <v/>
      </c>
      <c r="AP32" s="113" t="str">
        <f t="shared" si="20"/>
        <v>-</v>
      </c>
      <c r="AQ32" s="119"/>
      <c r="AR32" s="103" t="str">
        <f t="shared" si="21"/>
        <v/>
      </c>
      <c r="AT32" s="38" t="str">
        <f t="shared" si="27"/>
        <v>B5</v>
      </c>
      <c r="AU32" s="38">
        <f t="shared" si="18"/>
        <v>0</v>
      </c>
      <c r="AY32" s="38" t="str">
        <f t="shared" si="1"/>
        <v/>
      </c>
      <c r="AZ32" s="38" t="str">
        <f t="shared" si="2"/>
        <v>0</v>
      </c>
      <c r="BA32" s="38" t="str">
        <f t="shared" si="3"/>
        <v>0</v>
      </c>
      <c r="BB32" s="38" t="str">
        <f t="shared" si="4"/>
        <v>0</v>
      </c>
      <c r="BC32" s="38">
        <f t="shared" si="5"/>
        <v>0</v>
      </c>
      <c r="BD32" s="38">
        <f t="shared" si="6"/>
        <v>0</v>
      </c>
      <c r="BL32" s="38" t="str">
        <f t="shared" si="7"/>
        <v/>
      </c>
      <c r="BM32" s="38" t="str">
        <f t="shared" si="8"/>
        <v/>
      </c>
      <c r="BN32" s="38" t="str">
        <f t="shared" si="9"/>
        <v/>
      </c>
      <c r="BO32" s="38" t="str">
        <f t="shared" si="10"/>
        <v/>
      </c>
      <c r="BP32" s="38" t="str">
        <f t="shared" si="11"/>
        <v/>
      </c>
      <c r="BQ32" s="38" t="str">
        <f t="shared" si="12"/>
        <v/>
      </c>
    </row>
    <row r="33" spans="1:69" ht="15.6" x14ac:dyDescent="0.3">
      <c r="A33" s="276"/>
      <c r="B33" s="397">
        <f>IF(ISBLANK(HLOOKUP($F$25,spelerslijsten!$B$1:$J$22,10,FALSE)),"",HLOOKUP($F$25,spelerslijsten!$B$1:$J$22,10,FALSE))</f>
        <v>7</v>
      </c>
      <c r="C33" s="398"/>
      <c r="D33" s="121"/>
      <c r="E33" s="122" t="str">
        <f>IF(ISBLANK(HLOOKUP($F$25,spelerslijsten!$B$1:$J$22,9,FALSE)),"",HLOOKUP($F$25,spelerslijsten!$B$1:$J$22,9,FALSE))</f>
        <v>Ties Bouten</v>
      </c>
      <c r="F33" s="12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08">
        <f t="shared" si="23"/>
        <v>0</v>
      </c>
      <c r="W33" s="109" t="str">
        <f t="shared" si="24"/>
        <v/>
      </c>
      <c r="X33" s="110" t="str">
        <f t="shared" si="25"/>
        <v/>
      </c>
      <c r="Y33" s="103" t="str">
        <f t="shared" si="26"/>
        <v/>
      </c>
      <c r="Z33" s="257"/>
      <c r="AA33" s="119"/>
      <c r="AB33" s="113" t="str">
        <f t="shared" si="16"/>
        <v>-</v>
      </c>
      <c r="AC33" s="119"/>
      <c r="AD33" s="272"/>
      <c r="AE33" s="108"/>
      <c r="AF33" s="108"/>
      <c r="AG33" s="273"/>
      <c r="AH33" s="274"/>
      <c r="AI33" s="274"/>
      <c r="AJ33" s="432"/>
      <c r="AK33" s="433"/>
      <c r="AL33" s="434"/>
      <c r="AM33" s="435"/>
      <c r="AN33" s="118"/>
      <c r="AO33" s="101" t="str">
        <f t="shared" si="19"/>
        <v/>
      </c>
      <c r="AP33" s="113" t="str">
        <f t="shared" si="20"/>
        <v>-</v>
      </c>
      <c r="AQ33" s="119"/>
      <c r="AR33" s="103" t="str">
        <f t="shared" si="21"/>
        <v/>
      </c>
      <c r="AT33" s="38" t="str">
        <f t="shared" si="27"/>
        <v>B7</v>
      </c>
      <c r="AU33" s="38">
        <f t="shared" si="18"/>
        <v>0</v>
      </c>
      <c r="AY33" s="38" t="str">
        <f t="shared" si="1"/>
        <v/>
      </c>
      <c r="AZ33" s="38" t="str">
        <f t="shared" si="2"/>
        <v>0</v>
      </c>
      <c r="BA33" s="38" t="str">
        <f t="shared" si="3"/>
        <v>0</v>
      </c>
      <c r="BB33" s="38" t="str">
        <f t="shared" si="4"/>
        <v>0</v>
      </c>
      <c r="BC33" s="38">
        <f t="shared" si="5"/>
        <v>0</v>
      </c>
      <c r="BD33" s="38">
        <f t="shared" si="6"/>
        <v>0</v>
      </c>
      <c r="BL33" s="38" t="str">
        <f t="shared" si="7"/>
        <v/>
      </c>
      <c r="BM33" s="38" t="str">
        <f t="shared" si="8"/>
        <v/>
      </c>
      <c r="BN33" s="38" t="str">
        <f t="shared" si="9"/>
        <v/>
      </c>
      <c r="BO33" s="38" t="str">
        <f t="shared" si="10"/>
        <v/>
      </c>
      <c r="BP33" s="38" t="str">
        <f t="shared" si="11"/>
        <v/>
      </c>
      <c r="BQ33" s="38" t="str">
        <f t="shared" si="12"/>
        <v/>
      </c>
    </row>
    <row r="34" spans="1:69" ht="15.6" x14ac:dyDescent="0.3">
      <c r="A34" s="276"/>
      <c r="B34" s="397">
        <f>IF(ISBLANK(HLOOKUP($F$25,spelerslijsten!$B$1:$J$22,12,FALSE)),"",HLOOKUP($F$25,spelerslijsten!$B$1:$J$22,12,FALSE))</f>
        <v>9</v>
      </c>
      <c r="C34" s="398"/>
      <c r="D34" s="121"/>
      <c r="E34" s="122" t="str">
        <f>IF(ISBLANK(HLOOKUP($F$25,spelerslijsten!$B$1:$J$22,11,FALSE)),"",HLOOKUP($F$25,spelerslijsten!$B$1:$J$22,11,FALSE))</f>
        <v>Wilma van Helden</v>
      </c>
      <c r="F34" s="12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08">
        <f t="shared" si="23"/>
        <v>0</v>
      </c>
      <c r="W34" s="109" t="str">
        <f t="shared" si="24"/>
        <v/>
      </c>
      <c r="X34" s="110" t="str">
        <f t="shared" si="25"/>
        <v/>
      </c>
      <c r="Y34" s="103" t="str">
        <f t="shared" si="26"/>
        <v/>
      </c>
      <c r="Z34" s="257"/>
      <c r="AA34" s="119"/>
      <c r="AB34" s="113" t="str">
        <f t="shared" si="16"/>
        <v>-</v>
      </c>
      <c r="AC34" s="119"/>
      <c r="AD34" s="272"/>
      <c r="AE34" s="108"/>
      <c r="AF34" s="108"/>
      <c r="AG34" s="273"/>
      <c r="AH34" s="274"/>
      <c r="AI34" s="274"/>
      <c r="AJ34" s="432"/>
      <c r="AK34" s="433"/>
      <c r="AL34" s="434"/>
      <c r="AM34" s="435"/>
      <c r="AN34" s="118"/>
      <c r="AO34" s="101" t="str">
        <f t="shared" si="19"/>
        <v/>
      </c>
      <c r="AP34" s="113" t="str">
        <f t="shared" si="20"/>
        <v>-</v>
      </c>
      <c r="AQ34" s="119"/>
      <c r="AR34" s="103" t="str">
        <f t="shared" si="21"/>
        <v/>
      </c>
      <c r="AT34" s="38" t="str">
        <f t="shared" si="27"/>
        <v>B9</v>
      </c>
      <c r="AU34" s="38">
        <f t="shared" si="18"/>
        <v>0</v>
      </c>
      <c r="AY34" s="38" t="str">
        <f t="shared" si="1"/>
        <v/>
      </c>
      <c r="AZ34" s="38" t="str">
        <f t="shared" si="2"/>
        <v>0</v>
      </c>
      <c r="BA34" s="38" t="str">
        <f t="shared" si="3"/>
        <v>0</v>
      </c>
      <c r="BB34" s="38" t="str">
        <f t="shared" si="4"/>
        <v>0</v>
      </c>
      <c r="BC34" s="38">
        <f t="shared" si="5"/>
        <v>0</v>
      </c>
      <c r="BD34" s="38">
        <f t="shared" si="6"/>
        <v>0</v>
      </c>
      <c r="BL34" s="38" t="str">
        <f t="shared" si="7"/>
        <v/>
      </c>
      <c r="BM34" s="38" t="str">
        <f t="shared" si="8"/>
        <v/>
      </c>
      <c r="BN34" s="38" t="str">
        <f t="shared" si="9"/>
        <v/>
      </c>
      <c r="BO34" s="38" t="str">
        <f t="shared" si="10"/>
        <v/>
      </c>
      <c r="BP34" s="38" t="str">
        <f t="shared" si="11"/>
        <v/>
      </c>
      <c r="BQ34" s="38" t="str">
        <f t="shared" si="12"/>
        <v/>
      </c>
    </row>
    <row r="35" spans="1:69" ht="15.6" x14ac:dyDescent="0.3">
      <c r="A35" s="276"/>
      <c r="B35" s="397">
        <f>IF(ISBLANK(HLOOKUP($F$25,spelerslijsten!$B$1:$J$22,14,FALSE)),"",HLOOKUP($F$25,spelerslijsten!$B$1:$J$22,14,FALSE))</f>
        <v>11</v>
      </c>
      <c r="C35" s="398"/>
      <c r="D35" s="121"/>
      <c r="E35" s="122" t="str">
        <f>IF(ISBLANK(HLOOKUP($F$25,spelerslijsten!$B$1:$J$22,13,FALSE)),"",HLOOKUP($F$25,spelerslijsten!$B$1:$J$22,13,FALSE))</f>
        <v>Sonja Bouten</v>
      </c>
      <c r="F35" s="12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08">
        <f t="shared" si="23"/>
        <v>0</v>
      </c>
      <c r="W35" s="109" t="str">
        <f t="shared" si="24"/>
        <v/>
      </c>
      <c r="X35" s="110" t="str">
        <f t="shared" si="25"/>
        <v/>
      </c>
      <c r="Y35" s="103" t="str">
        <f t="shared" si="26"/>
        <v/>
      </c>
      <c r="Z35" s="257"/>
      <c r="AA35" s="119"/>
      <c r="AB35" s="113" t="str">
        <f t="shared" si="16"/>
        <v>-</v>
      </c>
      <c r="AC35" s="119"/>
      <c r="AD35" s="272"/>
      <c r="AE35" s="108"/>
      <c r="AF35" s="108"/>
      <c r="AG35" s="273"/>
      <c r="AH35" s="274"/>
      <c r="AI35" s="274"/>
      <c r="AJ35" s="432"/>
      <c r="AK35" s="433"/>
      <c r="AL35" s="434"/>
      <c r="AM35" s="435"/>
      <c r="AN35" s="118"/>
      <c r="AO35" s="101" t="str">
        <f t="shared" si="19"/>
        <v/>
      </c>
      <c r="AP35" s="113" t="str">
        <f t="shared" si="20"/>
        <v>-</v>
      </c>
      <c r="AQ35" s="119"/>
      <c r="AR35" s="103" t="str">
        <f t="shared" si="21"/>
        <v/>
      </c>
      <c r="AT35" s="38" t="str">
        <f t="shared" si="27"/>
        <v>B11</v>
      </c>
      <c r="AU35" s="38">
        <f t="shared" si="18"/>
        <v>0</v>
      </c>
      <c r="AY35" s="38" t="str">
        <f t="shared" si="1"/>
        <v/>
      </c>
      <c r="AZ35" s="38" t="str">
        <f t="shared" si="2"/>
        <v>0</v>
      </c>
      <c r="BA35" s="38" t="str">
        <f t="shared" si="3"/>
        <v>0</v>
      </c>
      <c r="BB35" s="38" t="str">
        <f t="shared" si="4"/>
        <v>0</v>
      </c>
      <c r="BC35" s="38">
        <f t="shared" si="5"/>
        <v>0</v>
      </c>
      <c r="BD35" s="38">
        <f t="shared" si="6"/>
        <v>0</v>
      </c>
      <c r="BL35" s="38" t="str">
        <f t="shared" si="7"/>
        <v/>
      </c>
      <c r="BM35" s="38" t="str">
        <f t="shared" si="8"/>
        <v/>
      </c>
      <c r="BN35" s="38" t="str">
        <f t="shared" si="9"/>
        <v/>
      </c>
      <c r="BO35" s="38" t="str">
        <f t="shared" si="10"/>
        <v/>
      </c>
      <c r="BP35" s="38" t="str">
        <f t="shared" si="11"/>
        <v/>
      </c>
      <c r="BQ35" s="38" t="str">
        <f t="shared" si="12"/>
        <v/>
      </c>
    </row>
    <row r="36" spans="1:69" ht="15.6" x14ac:dyDescent="0.3">
      <c r="A36" s="276"/>
      <c r="B36" s="397">
        <f>IF(ISBLANK(HLOOKUP($F$25,spelerslijsten!$B$1:$J$22,16,FALSE)),"",HLOOKUP($F$25,spelerslijsten!$B$1:$J$22,16,FALSE))</f>
        <v>12</v>
      </c>
      <c r="C36" s="398"/>
      <c r="D36" s="121"/>
      <c r="E36" s="122" t="str">
        <f>IF(ISBLANK(HLOOKUP($F$25,spelerslijsten!$B$1:$J$22,15,FALSE)),"",HLOOKUP($F$25,spelerslijsten!$B$1:$J$22,15,FALSE))</f>
        <v>Hans Reijnders (leen)</v>
      </c>
      <c r="F36" s="12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08">
        <f t="shared" si="23"/>
        <v>0</v>
      </c>
      <c r="W36" s="109" t="str">
        <f t="shared" si="24"/>
        <v/>
      </c>
      <c r="X36" s="110" t="str">
        <f t="shared" si="25"/>
        <v/>
      </c>
      <c r="Y36" s="103" t="str">
        <f t="shared" si="26"/>
        <v/>
      </c>
      <c r="Z36" s="257"/>
      <c r="AA36" s="119"/>
      <c r="AB36" s="113" t="str">
        <f t="shared" si="16"/>
        <v>-</v>
      </c>
      <c r="AC36" s="119"/>
      <c r="AD36" s="272"/>
      <c r="AE36" s="108"/>
      <c r="AF36" s="108"/>
      <c r="AG36" s="273"/>
      <c r="AH36" s="274"/>
      <c r="AI36" s="274"/>
      <c r="AJ36" s="432"/>
      <c r="AK36" s="433"/>
      <c r="AL36" s="434"/>
      <c r="AM36" s="435"/>
      <c r="AN36" s="118"/>
      <c r="AO36" s="101" t="str">
        <f t="shared" si="19"/>
        <v/>
      </c>
      <c r="AP36" s="113" t="str">
        <f t="shared" si="20"/>
        <v>-</v>
      </c>
      <c r="AQ36" s="119"/>
      <c r="AR36" s="103" t="str">
        <f t="shared" si="21"/>
        <v/>
      </c>
      <c r="AT36" s="38" t="str">
        <f t="shared" si="27"/>
        <v>B12</v>
      </c>
      <c r="AU36" s="38">
        <f t="shared" si="18"/>
        <v>0</v>
      </c>
      <c r="AY36" s="38" t="str">
        <f t="shared" si="1"/>
        <v/>
      </c>
      <c r="AZ36" s="38" t="str">
        <f t="shared" si="2"/>
        <v>0</v>
      </c>
      <c r="BA36" s="38" t="str">
        <f t="shared" si="3"/>
        <v>0</v>
      </c>
      <c r="BB36" s="38" t="str">
        <f t="shared" si="4"/>
        <v>0</v>
      </c>
      <c r="BC36" s="38">
        <f t="shared" si="5"/>
        <v>0</v>
      </c>
      <c r="BD36" s="38">
        <f t="shared" si="6"/>
        <v>0</v>
      </c>
      <c r="BL36" s="38" t="str">
        <f t="shared" si="7"/>
        <v/>
      </c>
      <c r="BM36" s="38" t="str">
        <f t="shared" si="8"/>
        <v/>
      </c>
      <c r="BN36" s="38" t="str">
        <f t="shared" si="9"/>
        <v/>
      </c>
      <c r="BO36" s="38" t="str">
        <f t="shared" si="10"/>
        <v/>
      </c>
      <c r="BP36" s="38" t="str">
        <f t="shared" si="11"/>
        <v/>
      </c>
      <c r="BQ36" s="38" t="str">
        <f t="shared" si="12"/>
        <v/>
      </c>
    </row>
    <row r="37" spans="1:69" ht="15.6" x14ac:dyDescent="0.3">
      <c r="A37" s="276"/>
      <c r="B37" s="397" t="str">
        <f>IF(ISBLANK(HLOOKUP($F$25,spelerslijsten!$B$1:$J$22,18,FALSE)),"",HLOOKUP($F$25,spelerslijsten!$B$1:$J$22,18,FALSE))</f>
        <v/>
      </c>
      <c r="C37" s="398"/>
      <c r="D37" s="121"/>
      <c r="E37" s="122" t="str">
        <f>IF(ISBLANK(HLOOKUP($F$25,spelerslijsten!$B$1:$J$22,17,FALSE)),"",HLOOKUP($F$25,spelerslijsten!$B$1:$J$22,17,FALSE))</f>
        <v/>
      </c>
      <c r="F37" s="12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08">
        <f t="shared" si="23"/>
        <v>0</v>
      </c>
      <c r="W37" s="109" t="str">
        <f t="shared" si="24"/>
        <v/>
      </c>
      <c r="X37" s="110" t="str">
        <f t="shared" si="25"/>
        <v/>
      </c>
      <c r="Y37" s="103" t="str">
        <f t="shared" si="26"/>
        <v/>
      </c>
      <c r="Z37" s="257"/>
      <c r="AA37" s="119"/>
      <c r="AB37" s="113" t="str">
        <f t="shared" si="16"/>
        <v>-</v>
      </c>
      <c r="AC37" s="119"/>
      <c r="AD37" s="272"/>
      <c r="AE37" s="108"/>
      <c r="AF37" s="108"/>
      <c r="AG37" s="273"/>
      <c r="AH37" s="274"/>
      <c r="AI37" s="274"/>
      <c r="AJ37" s="432"/>
      <c r="AK37" s="433"/>
      <c r="AL37" s="434"/>
      <c r="AM37" s="435"/>
      <c r="AN37" s="118"/>
      <c r="AO37" s="101" t="str">
        <f t="shared" si="19"/>
        <v/>
      </c>
      <c r="AP37" s="113" t="str">
        <f t="shared" si="20"/>
        <v>-</v>
      </c>
      <c r="AQ37" s="119"/>
      <c r="AR37" s="103" t="str">
        <f t="shared" si="21"/>
        <v/>
      </c>
      <c r="AT37" s="38" t="str">
        <f t="shared" si="27"/>
        <v>B</v>
      </c>
      <c r="AU37" s="38">
        <f t="shared" si="18"/>
        <v>0</v>
      </c>
      <c r="AY37" s="38" t="str">
        <f t="shared" si="1"/>
        <v/>
      </c>
      <c r="AZ37" s="38" t="str">
        <f t="shared" si="2"/>
        <v>0</v>
      </c>
      <c r="BA37" s="38" t="str">
        <f t="shared" si="3"/>
        <v>0</v>
      </c>
      <c r="BB37" s="38" t="str">
        <f t="shared" si="4"/>
        <v>0</v>
      </c>
      <c r="BC37" s="38">
        <f t="shared" si="5"/>
        <v>0</v>
      </c>
      <c r="BD37" s="38">
        <f t="shared" si="6"/>
        <v>0</v>
      </c>
      <c r="BL37" s="38" t="str">
        <f t="shared" si="7"/>
        <v/>
      </c>
      <c r="BM37" s="38" t="str">
        <f t="shared" si="8"/>
        <v/>
      </c>
      <c r="BN37" s="38" t="str">
        <f t="shared" si="9"/>
        <v/>
      </c>
      <c r="BO37" s="38" t="str">
        <f t="shared" si="10"/>
        <v/>
      </c>
      <c r="BP37" s="38" t="str">
        <f t="shared" si="11"/>
        <v/>
      </c>
      <c r="BQ37" s="38" t="str">
        <f t="shared" si="12"/>
        <v/>
      </c>
    </row>
    <row r="38" spans="1:69" ht="15.6" x14ac:dyDescent="0.3">
      <c r="A38" s="276"/>
      <c r="B38" s="397" t="str">
        <f>IF(ISBLANK(HLOOKUP($F$25,spelerslijsten!$B$1:$J$22,20,FALSE)),"",HLOOKUP($F$25,spelerslijsten!$B$1:$J$22,20,FALSE))</f>
        <v/>
      </c>
      <c r="C38" s="398"/>
      <c r="D38" s="121"/>
      <c r="E38" s="122" t="str">
        <f>IF(ISBLANK(HLOOKUP($F$25,spelerslijsten!$B$1:$J$22,19,FALSE)),"",HLOOKUP($F$25,spelerslijsten!$B$1:$J$22,19,FALSE))</f>
        <v/>
      </c>
      <c r="F38" s="12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08">
        <f t="shared" si="23"/>
        <v>0</v>
      </c>
      <c r="W38" s="109" t="str">
        <f t="shared" si="24"/>
        <v/>
      </c>
      <c r="X38" s="110" t="str">
        <f t="shared" si="25"/>
        <v/>
      </c>
      <c r="Y38" s="103" t="str">
        <f t="shared" si="26"/>
        <v/>
      </c>
      <c r="Z38" s="257"/>
      <c r="AA38" s="119"/>
      <c r="AB38" s="113" t="str">
        <f t="shared" si="16"/>
        <v>-</v>
      </c>
      <c r="AC38" s="119"/>
      <c r="AD38" s="272"/>
      <c r="AE38" s="108"/>
      <c r="AF38" s="108"/>
      <c r="AG38" s="273"/>
      <c r="AH38" s="274"/>
      <c r="AI38" s="274"/>
      <c r="AJ38" s="432"/>
      <c r="AK38" s="433"/>
      <c r="AL38" s="434"/>
      <c r="AM38" s="435"/>
      <c r="AN38" s="118"/>
      <c r="AO38" s="101" t="str">
        <f t="shared" si="19"/>
        <v/>
      </c>
      <c r="AP38" s="113" t="str">
        <f t="shared" si="20"/>
        <v>-</v>
      </c>
      <c r="AQ38" s="119"/>
      <c r="AR38" s="103" t="str">
        <f t="shared" si="21"/>
        <v/>
      </c>
      <c r="AT38" s="38" t="str">
        <f t="shared" si="27"/>
        <v>B</v>
      </c>
      <c r="AU38" s="38">
        <f t="shared" si="18"/>
        <v>0</v>
      </c>
      <c r="AY38" s="38" t="str">
        <f t="shared" si="1"/>
        <v/>
      </c>
      <c r="AZ38" s="38" t="str">
        <f t="shared" si="2"/>
        <v>0</v>
      </c>
      <c r="BA38" s="38" t="str">
        <f t="shared" si="3"/>
        <v>0</v>
      </c>
      <c r="BB38" s="38" t="str">
        <f t="shared" si="4"/>
        <v>0</v>
      </c>
      <c r="BC38" s="38">
        <f t="shared" si="5"/>
        <v>0</v>
      </c>
      <c r="BD38" s="38">
        <f t="shared" si="6"/>
        <v>0</v>
      </c>
      <c r="BL38" s="38" t="str">
        <f t="shared" si="7"/>
        <v/>
      </c>
      <c r="BM38" s="38" t="str">
        <f t="shared" si="8"/>
        <v/>
      </c>
      <c r="BN38" s="38" t="str">
        <f t="shared" si="9"/>
        <v/>
      </c>
      <c r="BO38" s="38" t="str">
        <f t="shared" si="10"/>
        <v/>
      </c>
      <c r="BP38" s="38" t="str">
        <f t="shared" si="11"/>
        <v/>
      </c>
      <c r="BQ38" s="38" t="str">
        <f t="shared" si="12"/>
        <v/>
      </c>
    </row>
    <row r="39" spans="1:69" ht="15.6" x14ac:dyDescent="0.3">
      <c r="A39" s="277"/>
      <c r="B39" s="397" t="str">
        <f>IF(ISBLANK(HLOOKUP($F$25,spelerslijsten!$B$1:$J$22,22,FALSE)),"",HLOOKUP($F$25,spelerslijsten!$B$1:$J$22,22,FALSE))</f>
        <v/>
      </c>
      <c r="C39" s="398"/>
      <c r="D39" s="126"/>
      <c r="E39" s="259" t="str">
        <f>IF(ISBLANK(HLOOKUP($F$25,spelerslijsten!$B$1:$J$22,21,FALSE)),"",HLOOKUP($F$25,spelerslijsten!$B$1:$J$22,21,FALSE))</f>
        <v/>
      </c>
      <c r="F39" s="126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08">
        <f t="shared" si="23"/>
        <v>0</v>
      </c>
      <c r="W39" s="109" t="str">
        <f t="shared" si="24"/>
        <v/>
      </c>
      <c r="X39" s="110" t="str">
        <f t="shared" si="25"/>
        <v/>
      </c>
      <c r="Y39" s="103" t="str">
        <f t="shared" si="26"/>
        <v/>
      </c>
      <c r="Z39" s="257"/>
      <c r="AA39" s="119"/>
      <c r="AB39" s="113" t="str">
        <f t="shared" si="16"/>
        <v>-</v>
      </c>
      <c r="AC39" s="119"/>
      <c r="AD39" s="272"/>
      <c r="AE39" s="108"/>
      <c r="AF39" s="108"/>
      <c r="AG39" s="273"/>
      <c r="AH39" s="274"/>
      <c r="AI39" s="274"/>
      <c r="AJ39" s="432"/>
      <c r="AK39" s="433"/>
      <c r="AL39" s="434"/>
      <c r="AM39" s="435"/>
      <c r="AN39" s="118"/>
      <c r="AO39" s="101" t="str">
        <f t="shared" si="19"/>
        <v/>
      </c>
      <c r="AP39" s="113" t="str">
        <f t="shared" si="20"/>
        <v>-</v>
      </c>
      <c r="AQ39" s="119"/>
      <c r="AR39" s="103" t="str">
        <f t="shared" si="21"/>
        <v/>
      </c>
      <c r="AT39" s="38" t="str">
        <f t="shared" si="27"/>
        <v>B</v>
      </c>
      <c r="AU39" s="38">
        <f t="shared" si="18"/>
        <v>0</v>
      </c>
      <c r="AY39" s="38" t="str">
        <f t="shared" si="1"/>
        <v/>
      </c>
      <c r="AZ39" s="38" t="str">
        <f t="shared" si="2"/>
        <v>0</v>
      </c>
      <c r="BA39" s="38" t="str">
        <f t="shared" si="3"/>
        <v>0</v>
      </c>
      <c r="BB39" s="38" t="str">
        <f t="shared" si="4"/>
        <v>0</v>
      </c>
      <c r="BC39" s="38">
        <f t="shared" si="5"/>
        <v>0</v>
      </c>
      <c r="BD39" s="38">
        <f t="shared" si="6"/>
        <v>0</v>
      </c>
      <c r="BL39" s="38" t="str">
        <f t="shared" si="7"/>
        <v/>
      </c>
      <c r="BM39" s="38" t="str">
        <f t="shared" si="8"/>
        <v/>
      </c>
      <c r="BN39" s="38" t="str">
        <f t="shared" si="9"/>
        <v/>
      </c>
      <c r="BO39" s="38" t="str">
        <f t="shared" si="10"/>
        <v/>
      </c>
      <c r="BP39" s="38" t="str">
        <f t="shared" si="11"/>
        <v/>
      </c>
      <c r="BQ39" s="38" t="str">
        <f t="shared" si="12"/>
        <v/>
      </c>
    </row>
    <row r="40" spans="1:69" ht="16.2" thickBot="1" x14ac:dyDescent="0.35">
      <c r="A40" s="71" t="s">
        <v>67</v>
      </c>
      <c r="B40" s="72"/>
      <c r="C40" s="72"/>
      <c r="D40" s="72"/>
      <c r="E40" s="72"/>
      <c r="F40" s="72"/>
      <c r="G40" s="72"/>
      <c r="H40" s="72"/>
      <c r="I40" s="399">
        <f>HLOOKUP(F25,spelerslijsten!B1:J25,25,FALSE)</f>
        <v>6</v>
      </c>
      <c r="J40" s="400"/>
      <c r="K40" s="74" t="s">
        <v>23</v>
      </c>
      <c r="L40" s="72"/>
      <c r="M40" s="72"/>
      <c r="N40" s="129" t="str">
        <f>HLOOKUP(F25,spelerslijsten!B1:J25,23,FALSE)</f>
        <v>Sol Geraedts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30"/>
      <c r="Z40" s="257"/>
      <c r="AA40" s="119"/>
      <c r="AB40" s="113" t="str">
        <f t="shared" si="16"/>
        <v>-</v>
      </c>
      <c r="AC40" s="119"/>
      <c r="AD40" s="272"/>
      <c r="AE40" s="108"/>
      <c r="AF40" s="108"/>
      <c r="AG40" s="273"/>
      <c r="AH40" s="274"/>
      <c r="AI40" s="274"/>
      <c r="AJ40" s="432"/>
      <c r="AK40" s="433"/>
      <c r="AL40" s="434"/>
      <c r="AM40" s="435"/>
      <c r="AN40" s="118"/>
      <c r="AO40" s="101" t="str">
        <f t="shared" si="19"/>
        <v/>
      </c>
      <c r="AP40" s="113" t="str">
        <f t="shared" si="20"/>
        <v>-</v>
      </c>
      <c r="AQ40" s="119"/>
      <c r="AR40" s="103" t="str">
        <f t="shared" si="21"/>
        <v/>
      </c>
      <c r="AY40" s="38" t="str">
        <f t="shared" si="1"/>
        <v/>
      </c>
      <c r="AZ40" s="38" t="str">
        <f t="shared" si="2"/>
        <v>0</v>
      </c>
      <c r="BA40" s="38" t="str">
        <f t="shared" si="3"/>
        <v>0</v>
      </c>
      <c r="BB40" s="38" t="str">
        <f t="shared" si="4"/>
        <v>0</v>
      </c>
      <c r="BC40" s="38">
        <f t="shared" si="5"/>
        <v>0</v>
      </c>
      <c r="BD40" s="38">
        <f t="shared" si="6"/>
        <v>0</v>
      </c>
      <c r="BL40" s="38" t="str">
        <f t="shared" si="7"/>
        <v/>
      </c>
      <c r="BM40" s="38" t="str">
        <f t="shared" si="8"/>
        <v/>
      </c>
      <c r="BN40" s="38" t="str">
        <f t="shared" si="9"/>
        <v/>
      </c>
      <c r="BO40" s="38" t="str">
        <f t="shared" si="10"/>
        <v/>
      </c>
      <c r="BP40" s="38" t="str">
        <f t="shared" si="11"/>
        <v/>
      </c>
      <c r="BQ40" s="38" t="str">
        <f t="shared" si="12"/>
        <v/>
      </c>
    </row>
    <row r="41" spans="1:69" ht="15.6" x14ac:dyDescent="0.3">
      <c r="A41" s="157" t="s">
        <v>68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158"/>
      <c r="Z41" s="257"/>
      <c r="AA41" s="119"/>
      <c r="AB41" s="113" t="str">
        <f t="shared" si="16"/>
        <v>-</v>
      </c>
      <c r="AC41" s="119"/>
      <c r="AD41" s="272"/>
      <c r="AE41" s="108"/>
      <c r="AF41" s="108"/>
      <c r="AG41" s="273"/>
      <c r="AH41" s="274"/>
      <c r="AI41" s="274"/>
      <c r="AJ41" s="432"/>
      <c r="AK41" s="433"/>
      <c r="AL41" s="434"/>
      <c r="AM41" s="435"/>
      <c r="AN41" s="118"/>
      <c r="AO41" s="101" t="str">
        <f t="shared" si="19"/>
        <v/>
      </c>
      <c r="AP41" s="113" t="str">
        <f t="shared" si="20"/>
        <v>-</v>
      </c>
      <c r="AQ41" s="119"/>
      <c r="AR41" s="103" t="str">
        <f t="shared" si="21"/>
        <v/>
      </c>
      <c r="AY41" s="38" t="str">
        <f t="shared" si="1"/>
        <v/>
      </c>
      <c r="AZ41" s="38" t="str">
        <f t="shared" si="2"/>
        <v>0</v>
      </c>
      <c r="BA41" s="38" t="str">
        <f t="shared" si="3"/>
        <v>0</v>
      </c>
      <c r="BB41" s="38" t="str">
        <f t="shared" si="4"/>
        <v>0</v>
      </c>
      <c r="BC41" s="38">
        <f t="shared" si="5"/>
        <v>0</v>
      </c>
      <c r="BD41" s="38">
        <f t="shared" si="6"/>
        <v>0</v>
      </c>
      <c r="BL41" s="38" t="str">
        <f t="shared" si="7"/>
        <v/>
      </c>
      <c r="BM41" s="38" t="str">
        <f t="shared" si="8"/>
        <v/>
      </c>
      <c r="BN41" s="38" t="str">
        <f t="shared" si="9"/>
        <v/>
      </c>
      <c r="BO41" s="38" t="str">
        <f t="shared" si="10"/>
        <v/>
      </c>
      <c r="BP41" s="38" t="str">
        <f t="shared" si="11"/>
        <v/>
      </c>
      <c r="BQ41" s="38" t="str">
        <f t="shared" si="12"/>
        <v/>
      </c>
    </row>
    <row r="42" spans="1:69" ht="15.6" x14ac:dyDescent="0.3">
      <c r="A42" s="256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294"/>
      <c r="Z42" s="257"/>
      <c r="AA42" s="119"/>
      <c r="AB42" s="113" t="str">
        <f t="shared" si="16"/>
        <v>-</v>
      </c>
      <c r="AC42" s="119"/>
      <c r="AD42" s="272"/>
      <c r="AE42" s="108"/>
      <c r="AF42" s="108"/>
      <c r="AG42" s="273"/>
      <c r="AH42" s="274"/>
      <c r="AI42" s="274"/>
      <c r="AJ42" s="432"/>
      <c r="AK42" s="433"/>
      <c r="AL42" s="434"/>
      <c r="AM42" s="435"/>
      <c r="AN42" s="118"/>
      <c r="AO42" s="101" t="str">
        <f t="shared" si="19"/>
        <v/>
      </c>
      <c r="AP42" s="113" t="str">
        <f t="shared" si="20"/>
        <v>-</v>
      </c>
      <c r="AQ42" s="119"/>
      <c r="AR42" s="103" t="str">
        <f t="shared" si="21"/>
        <v/>
      </c>
      <c r="AY42" s="38" t="str">
        <f t="shared" si="1"/>
        <v/>
      </c>
      <c r="AZ42" s="38" t="str">
        <f t="shared" si="2"/>
        <v>0</v>
      </c>
      <c r="BA42" s="38" t="str">
        <f t="shared" si="3"/>
        <v>0</v>
      </c>
      <c r="BB42" s="38" t="str">
        <f t="shared" si="4"/>
        <v>0</v>
      </c>
      <c r="BC42" s="38">
        <f t="shared" si="5"/>
        <v>0</v>
      </c>
      <c r="BD42" s="38">
        <f t="shared" si="6"/>
        <v>0</v>
      </c>
      <c r="BL42" s="38" t="str">
        <f t="shared" si="7"/>
        <v/>
      </c>
      <c r="BM42" s="38" t="str">
        <f t="shared" si="8"/>
        <v/>
      </c>
      <c r="BN42" s="38" t="str">
        <f t="shared" si="9"/>
        <v/>
      </c>
      <c r="BO42" s="38" t="str">
        <f t="shared" si="10"/>
        <v/>
      </c>
      <c r="BP42" s="38" t="str">
        <f t="shared" si="11"/>
        <v/>
      </c>
      <c r="BQ42" s="38" t="str">
        <f t="shared" si="12"/>
        <v/>
      </c>
    </row>
    <row r="43" spans="1:69" ht="15.6" x14ac:dyDescent="0.3">
      <c r="A43" s="257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295"/>
      <c r="Z43" s="257"/>
      <c r="AA43" s="119"/>
      <c r="AB43" s="113" t="str">
        <f t="shared" si="16"/>
        <v>-</v>
      </c>
      <c r="AC43" s="119"/>
      <c r="AD43" s="272"/>
      <c r="AE43" s="108"/>
      <c r="AF43" s="108"/>
      <c r="AG43" s="273"/>
      <c r="AH43" s="274"/>
      <c r="AI43" s="274"/>
      <c r="AJ43" s="432"/>
      <c r="AK43" s="433"/>
      <c r="AL43" s="434"/>
      <c r="AM43" s="435"/>
      <c r="AN43" s="118"/>
      <c r="AO43" s="101" t="str">
        <f t="shared" si="19"/>
        <v/>
      </c>
      <c r="AP43" s="113" t="str">
        <f t="shared" si="20"/>
        <v>-</v>
      </c>
      <c r="AQ43" s="119"/>
      <c r="AR43" s="103" t="str">
        <f t="shared" si="21"/>
        <v/>
      </c>
      <c r="AY43" s="38" t="str">
        <f t="shared" si="1"/>
        <v/>
      </c>
      <c r="AZ43" s="38" t="str">
        <f t="shared" si="2"/>
        <v>0</v>
      </c>
      <c r="BA43" s="38" t="str">
        <f t="shared" si="3"/>
        <v>0</v>
      </c>
      <c r="BB43" s="38" t="str">
        <f t="shared" si="4"/>
        <v>0</v>
      </c>
      <c r="BC43" s="38">
        <f t="shared" si="5"/>
        <v>0</v>
      </c>
      <c r="BD43" s="38">
        <f t="shared" si="6"/>
        <v>0</v>
      </c>
      <c r="BL43" s="38" t="str">
        <f t="shared" si="7"/>
        <v/>
      </c>
      <c r="BM43" s="38" t="str">
        <f t="shared" si="8"/>
        <v/>
      </c>
      <c r="BN43" s="38" t="str">
        <f t="shared" si="9"/>
        <v/>
      </c>
      <c r="BO43" s="38" t="str">
        <f t="shared" si="10"/>
        <v/>
      </c>
      <c r="BP43" s="38" t="str">
        <f t="shared" si="11"/>
        <v/>
      </c>
      <c r="BQ43" s="38" t="str">
        <f t="shared" si="12"/>
        <v/>
      </c>
    </row>
    <row r="44" spans="1:69" ht="15.6" x14ac:dyDescent="0.3">
      <c r="A44" s="257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295"/>
      <c r="Z44" s="257"/>
      <c r="AA44" s="119"/>
      <c r="AB44" s="113" t="str">
        <f t="shared" si="16"/>
        <v>-</v>
      </c>
      <c r="AC44" s="119"/>
      <c r="AD44" s="272"/>
      <c r="AE44" s="108"/>
      <c r="AF44" s="108"/>
      <c r="AG44" s="273"/>
      <c r="AH44" s="274"/>
      <c r="AI44" s="274"/>
      <c r="AJ44" s="432"/>
      <c r="AK44" s="433"/>
      <c r="AL44" s="434"/>
      <c r="AM44" s="435"/>
      <c r="AN44" s="118"/>
      <c r="AO44" s="101" t="str">
        <f t="shared" si="19"/>
        <v/>
      </c>
      <c r="AP44" s="113" t="str">
        <f t="shared" si="20"/>
        <v>-</v>
      </c>
      <c r="AQ44" s="119"/>
      <c r="AR44" s="103" t="str">
        <f t="shared" si="21"/>
        <v/>
      </c>
      <c r="AY44" s="38" t="str">
        <f t="shared" si="1"/>
        <v/>
      </c>
      <c r="AZ44" s="38" t="str">
        <f t="shared" si="2"/>
        <v>0</v>
      </c>
      <c r="BA44" s="38" t="str">
        <f t="shared" si="3"/>
        <v>0</v>
      </c>
      <c r="BB44" s="38" t="str">
        <f t="shared" si="4"/>
        <v>0</v>
      </c>
      <c r="BC44" s="38">
        <f t="shared" si="5"/>
        <v>0</v>
      </c>
      <c r="BD44" s="38">
        <f t="shared" si="6"/>
        <v>0</v>
      </c>
      <c r="BL44" s="38" t="str">
        <f t="shared" si="7"/>
        <v/>
      </c>
      <c r="BM44" s="38" t="str">
        <f t="shared" si="8"/>
        <v/>
      </c>
      <c r="BN44" s="38" t="str">
        <f t="shared" si="9"/>
        <v/>
      </c>
      <c r="BO44" s="38" t="str">
        <f t="shared" si="10"/>
        <v/>
      </c>
      <c r="BP44" s="38" t="str">
        <f t="shared" si="11"/>
        <v/>
      </c>
      <c r="BQ44" s="38" t="str">
        <f t="shared" si="12"/>
        <v/>
      </c>
    </row>
    <row r="45" spans="1:69" ht="15.6" x14ac:dyDescent="0.3">
      <c r="A45" s="257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295"/>
      <c r="Z45" s="257"/>
      <c r="AA45" s="119"/>
      <c r="AB45" s="113" t="str">
        <f>+AB44</f>
        <v>-</v>
      </c>
      <c r="AC45" s="119"/>
      <c r="AD45" s="272"/>
      <c r="AE45" s="108"/>
      <c r="AF45" s="108"/>
      <c r="AG45" s="273"/>
      <c r="AH45" s="274"/>
      <c r="AI45" s="274"/>
      <c r="AJ45" s="432"/>
      <c r="AK45" s="433"/>
      <c r="AL45" s="434"/>
      <c r="AM45" s="435"/>
      <c r="AN45" s="118"/>
      <c r="AO45" s="101" t="str">
        <f t="shared" si="19"/>
        <v/>
      </c>
      <c r="AP45" s="113" t="str">
        <f t="shared" si="20"/>
        <v>-</v>
      </c>
      <c r="AQ45" s="119"/>
      <c r="AR45" s="103" t="str">
        <f t="shared" si="21"/>
        <v/>
      </c>
      <c r="AY45" s="38" t="str">
        <f t="shared" si="1"/>
        <v/>
      </c>
      <c r="AZ45" s="38" t="str">
        <f t="shared" si="2"/>
        <v>0</v>
      </c>
      <c r="BA45" s="38" t="str">
        <f t="shared" si="3"/>
        <v>0</v>
      </c>
      <c r="BB45" s="38" t="str">
        <f t="shared" si="4"/>
        <v>0</v>
      </c>
      <c r="BC45" s="38">
        <f t="shared" si="5"/>
        <v>0</v>
      </c>
      <c r="BD45" s="38">
        <f t="shared" si="6"/>
        <v>0</v>
      </c>
      <c r="BL45" s="38" t="str">
        <f t="shared" si="7"/>
        <v/>
      </c>
      <c r="BM45" s="38" t="str">
        <f t="shared" si="8"/>
        <v/>
      </c>
      <c r="BN45" s="38" t="str">
        <f t="shared" si="9"/>
        <v/>
      </c>
      <c r="BO45" s="38" t="str">
        <f t="shared" si="10"/>
        <v/>
      </c>
      <c r="BP45" s="38" t="str">
        <f t="shared" si="11"/>
        <v/>
      </c>
      <c r="BQ45" s="38" t="str">
        <f t="shared" si="12"/>
        <v/>
      </c>
    </row>
    <row r="46" spans="1:69" ht="16.2" thickBot="1" x14ac:dyDescent="0.35">
      <c r="A46" s="258"/>
      <c r="B46" s="278"/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96"/>
      <c r="Z46" s="297"/>
      <c r="AA46" s="298"/>
      <c r="AB46" s="167" t="str">
        <f>+AB45</f>
        <v>-</v>
      </c>
      <c r="AC46" s="298"/>
      <c r="AD46" s="299"/>
      <c r="AE46" s="300"/>
      <c r="AF46" s="300"/>
      <c r="AG46" s="301"/>
      <c r="AH46" s="302"/>
      <c r="AI46" s="302"/>
      <c r="AJ46" s="436"/>
      <c r="AK46" s="437"/>
      <c r="AL46" s="438"/>
      <c r="AM46" s="439"/>
      <c r="AN46" s="172"/>
      <c r="AO46" s="101" t="str">
        <f t="shared" si="19"/>
        <v/>
      </c>
      <c r="AP46" s="113" t="str">
        <f t="shared" si="20"/>
        <v>-</v>
      </c>
      <c r="AQ46" s="119"/>
      <c r="AR46" s="103" t="str">
        <f t="shared" si="21"/>
        <v/>
      </c>
      <c r="AY46" s="38" t="str">
        <f t="shared" si="1"/>
        <v/>
      </c>
      <c r="AZ46" s="38" t="str">
        <f t="shared" si="2"/>
        <v>0</v>
      </c>
      <c r="BA46" s="38" t="str">
        <f t="shared" si="3"/>
        <v>0</v>
      </c>
      <c r="BB46" s="38" t="str">
        <f t="shared" si="4"/>
        <v>0</v>
      </c>
      <c r="BC46" s="38">
        <f t="shared" si="5"/>
        <v>0</v>
      </c>
      <c r="BD46" s="38">
        <f t="shared" si="6"/>
        <v>0</v>
      </c>
      <c r="BL46" s="38" t="str">
        <f t="shared" si="7"/>
        <v/>
      </c>
      <c r="BM46" s="38" t="str">
        <f t="shared" si="8"/>
        <v/>
      </c>
      <c r="BN46" s="38" t="str">
        <f t="shared" si="9"/>
        <v/>
      </c>
      <c r="BO46" s="38" t="str">
        <f t="shared" si="10"/>
        <v/>
      </c>
      <c r="BP46" s="38" t="str">
        <f t="shared" si="11"/>
        <v/>
      </c>
      <c r="BQ46" s="38" t="str">
        <f t="shared" si="12"/>
        <v/>
      </c>
    </row>
    <row r="47" spans="1:69" ht="18.600000000000001" thickBot="1" x14ac:dyDescent="0.35">
      <c r="A47" s="173" t="s">
        <v>69</v>
      </c>
      <c r="B47" s="174"/>
      <c r="C47" s="174"/>
      <c r="D47" s="174"/>
      <c r="E47" s="174"/>
      <c r="F47" s="174"/>
      <c r="G47" s="174"/>
      <c r="H47" s="175" t="s">
        <v>16</v>
      </c>
      <c r="I47" s="174"/>
      <c r="J47" s="174"/>
      <c r="K47" s="174" t="s">
        <v>70</v>
      </c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6"/>
      <c r="W47" s="174"/>
      <c r="X47" s="174"/>
      <c r="Y47" s="174"/>
      <c r="Z47" s="174"/>
      <c r="AA47" s="174"/>
      <c r="AB47" s="174"/>
      <c r="AC47" s="174"/>
      <c r="AD47" s="177"/>
      <c r="AE47" s="178" t="s">
        <v>71</v>
      </c>
      <c r="AF47" s="179"/>
      <c r="AG47" s="179"/>
      <c r="AH47" s="179"/>
      <c r="AI47" s="179"/>
      <c r="AJ47" s="174"/>
      <c r="AK47" s="174"/>
      <c r="AL47" s="440" t="s">
        <v>109</v>
      </c>
      <c r="AM47" s="441"/>
      <c r="AN47" s="441"/>
      <c r="AO47" s="441"/>
      <c r="AP47" s="441"/>
      <c r="AQ47" s="441"/>
      <c r="AR47" s="442"/>
    </row>
    <row r="48" spans="1:69" x14ac:dyDescent="0.3">
      <c r="A48" s="225" t="s">
        <v>72</v>
      </c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7"/>
      <c r="P48" s="228" t="s">
        <v>72</v>
      </c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7"/>
      <c r="AC48" s="226"/>
      <c r="AD48" s="303"/>
      <c r="AE48" s="304" t="s">
        <v>72</v>
      </c>
      <c r="AF48" s="305"/>
      <c r="AG48" s="305"/>
      <c r="AH48" s="305"/>
      <c r="AI48" s="305"/>
      <c r="AJ48" s="226"/>
      <c r="AK48" s="226"/>
      <c r="AL48" s="226"/>
      <c r="AM48" s="226"/>
      <c r="AN48" s="226"/>
      <c r="AO48" s="305"/>
      <c r="AP48" s="226"/>
      <c r="AQ48" s="226"/>
      <c r="AR48" s="306"/>
    </row>
    <row r="49" spans="1:44" x14ac:dyDescent="0.3">
      <c r="A49" s="222"/>
      <c r="O49" s="221"/>
      <c r="P49" s="50"/>
      <c r="AB49" s="221"/>
      <c r="AR49" s="307"/>
    </row>
    <row r="50" spans="1:44" ht="14.4" thickBot="1" x14ac:dyDescent="0.3">
      <c r="A50" s="230" t="s">
        <v>73</v>
      </c>
      <c r="B50" s="231"/>
      <c r="C50" s="231"/>
      <c r="D50" s="231"/>
      <c r="E50" s="231"/>
      <c r="F50" s="231"/>
      <c r="G50" s="231"/>
      <c r="H50" s="232" t="s">
        <v>74</v>
      </c>
      <c r="I50" s="231"/>
      <c r="J50" s="231"/>
      <c r="K50" s="231"/>
      <c r="L50" s="231"/>
      <c r="M50" s="231"/>
      <c r="N50" s="231"/>
      <c r="O50" s="233"/>
      <c r="P50" s="234" t="s">
        <v>73</v>
      </c>
      <c r="Q50" s="231"/>
      <c r="R50" s="231"/>
      <c r="S50" s="231"/>
      <c r="T50" s="231"/>
      <c r="U50" s="231"/>
      <c r="V50" s="231"/>
      <c r="W50" s="232" t="s">
        <v>75</v>
      </c>
      <c r="X50" s="231"/>
      <c r="Y50" s="231"/>
      <c r="Z50" s="231"/>
      <c r="AA50" s="231"/>
      <c r="AB50" s="233"/>
      <c r="AC50" s="231"/>
      <c r="AD50" s="308"/>
      <c r="AE50" s="309" t="s">
        <v>25</v>
      </c>
      <c r="AF50" s="310"/>
      <c r="AG50" s="310"/>
      <c r="AH50" s="310"/>
      <c r="AI50" s="310"/>
      <c r="AJ50" s="235"/>
      <c r="AK50" s="235"/>
      <c r="AL50" s="235"/>
      <c r="AM50" s="235"/>
      <c r="AN50" s="235"/>
      <c r="AO50" s="310"/>
      <c r="AP50" s="235"/>
      <c r="AQ50" s="235"/>
      <c r="AR50" s="311"/>
    </row>
  </sheetData>
  <mergeCells count="109">
    <mergeCell ref="AJ23:AK23"/>
    <mergeCell ref="AL23:AM23"/>
    <mergeCell ref="AJ27:AK27"/>
    <mergeCell ref="AL27:AM27"/>
    <mergeCell ref="AJ28:AK28"/>
    <mergeCell ref="Z10:AD12"/>
    <mergeCell ref="AJ10:AK12"/>
    <mergeCell ref="AL10:AM12"/>
    <mergeCell ref="AN10:AR11"/>
    <mergeCell ref="AN12:AO12"/>
    <mergeCell ref="AQ12:AR12"/>
    <mergeCell ref="AJ15:AK15"/>
    <mergeCell ref="AL15:AM15"/>
    <mergeCell ref="AJ16:AK16"/>
    <mergeCell ref="AL16:AM16"/>
    <mergeCell ref="I24:J24"/>
    <mergeCell ref="F25:Y28"/>
    <mergeCell ref="B17:C17"/>
    <mergeCell ref="D5:E5"/>
    <mergeCell ref="B30:C30"/>
    <mergeCell ref="B18:C18"/>
    <mergeCell ref="B19:C19"/>
    <mergeCell ref="B20:C20"/>
    <mergeCell ref="B21:C21"/>
    <mergeCell ref="B22:C22"/>
    <mergeCell ref="B23:C23"/>
    <mergeCell ref="B14:C14"/>
    <mergeCell ref="B15:C15"/>
    <mergeCell ref="B16:C16"/>
    <mergeCell ref="A11:D12"/>
    <mergeCell ref="A26:D28"/>
    <mergeCell ref="F10:Y12"/>
    <mergeCell ref="B37:C37"/>
    <mergeCell ref="B38:C38"/>
    <mergeCell ref="B39:C39"/>
    <mergeCell ref="I40:J40"/>
    <mergeCell ref="B31:C31"/>
    <mergeCell ref="B32:C32"/>
    <mergeCell ref="B33:C33"/>
    <mergeCell ref="B34:C34"/>
    <mergeCell ref="B35:C35"/>
    <mergeCell ref="B36:C36"/>
    <mergeCell ref="BF4:BI6"/>
    <mergeCell ref="AJ13:AK13"/>
    <mergeCell ref="AL13:AM13"/>
    <mergeCell ref="AJ14:AK14"/>
    <mergeCell ref="AL14:AM14"/>
    <mergeCell ref="AJ21:AK21"/>
    <mergeCell ref="AL21:AM21"/>
    <mergeCell ref="AJ22:AK22"/>
    <mergeCell ref="AL22:AM22"/>
    <mergeCell ref="AJ18:AK18"/>
    <mergeCell ref="AL18:AM18"/>
    <mergeCell ref="AJ19:AK19"/>
    <mergeCell ref="AL19:AM19"/>
    <mergeCell ref="AJ20:AK20"/>
    <mergeCell ref="AL20:AM20"/>
    <mergeCell ref="AH6:AR6"/>
    <mergeCell ref="AJ17:AK17"/>
    <mergeCell ref="AL17:AM17"/>
    <mergeCell ref="AL31:AM31"/>
    <mergeCell ref="AJ32:AK32"/>
    <mergeCell ref="AL32:AM32"/>
    <mergeCell ref="AL28:AM28"/>
    <mergeCell ref="AJ29:AK29"/>
    <mergeCell ref="AL29:AM29"/>
    <mergeCell ref="AJ24:AK24"/>
    <mergeCell ref="AL24:AM24"/>
    <mergeCell ref="AJ25:AK25"/>
    <mergeCell ref="AL25:AM25"/>
    <mergeCell ref="AJ26:AK26"/>
    <mergeCell ref="AL26:AM26"/>
    <mergeCell ref="AL47:AR47"/>
    <mergeCell ref="AJ42:AK42"/>
    <mergeCell ref="AL42:AM42"/>
    <mergeCell ref="AJ43:AK43"/>
    <mergeCell ref="AL43:AM43"/>
    <mergeCell ref="AJ44:AK44"/>
    <mergeCell ref="AL44:AM44"/>
    <mergeCell ref="AJ39:AK39"/>
    <mergeCell ref="AL39:AM39"/>
    <mergeCell ref="AJ40:AK40"/>
    <mergeCell ref="AL40:AM40"/>
    <mergeCell ref="AJ41:AK41"/>
    <mergeCell ref="AL41:AM41"/>
    <mergeCell ref="D4:E4"/>
    <mergeCell ref="G4:I4"/>
    <mergeCell ref="K4:M4"/>
    <mergeCell ref="D3:N3"/>
    <mergeCell ref="G5:N5"/>
    <mergeCell ref="AJ45:AK45"/>
    <mergeCell ref="AL45:AM45"/>
    <mergeCell ref="AJ46:AK46"/>
    <mergeCell ref="AL46:AM46"/>
    <mergeCell ref="AJ36:AK36"/>
    <mergeCell ref="AL36:AM36"/>
    <mergeCell ref="AJ37:AK37"/>
    <mergeCell ref="AL37:AM37"/>
    <mergeCell ref="AJ38:AK38"/>
    <mergeCell ref="AL38:AM38"/>
    <mergeCell ref="AJ33:AK33"/>
    <mergeCell ref="AL33:AM33"/>
    <mergeCell ref="AJ34:AK34"/>
    <mergeCell ref="AL34:AM34"/>
    <mergeCell ref="AJ35:AK35"/>
    <mergeCell ref="AL35:AM35"/>
    <mergeCell ref="AJ30:AK30"/>
    <mergeCell ref="AL30:AM30"/>
    <mergeCell ref="AJ31:AK31"/>
  </mergeCells>
  <conditionalFormatting sqref="G5:N5">
    <cfRule type="expression" dxfId="0" priority="1">
      <formula>IF($D$4&gt;20,1,0)</formula>
    </cfRule>
  </conditionalFormatting>
  <dataValidations disablePrompts="1" count="1">
    <dataValidation type="list" allowBlank="1" showInputMessage="1" showErrorMessage="1" sqref="AL47:AR47" xr:uid="{BA1B4F11-8BC4-465E-ACAA-678922A32ED1}">
      <formula1>"JA/NEE,JA,NEE"</formula1>
    </dataValidation>
  </dataValidations>
  <hyperlinks>
    <hyperlink ref="BF4:BI6" location="Wedstrijden!A1" display="Wedstrijdschema" xr:uid="{D6169478-5016-4C17-A93A-E09297268574}"/>
  </hyperlinks>
  <pageMargins left="0.19685039370078741" right="0.19685039370078741" top="0.19685039370078741" bottom="0.19685039370078741" header="0.31496062992125984" footer="0.31496062992125984"/>
  <pageSetup paperSize="9" scale="96" fitToHeight="0" orientation="portrait" horizontalDpi="360" verticalDpi="36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D368-89BD-4A6A-9D5E-6F1AEE661862}">
  <dimension ref="A1:AS82"/>
  <sheetViews>
    <sheetView topLeftCell="A66" workbookViewId="0">
      <selection activeCell="B73" sqref="B73:R73"/>
    </sheetView>
  </sheetViews>
  <sheetFormatPr defaultRowHeight="13.8" x14ac:dyDescent="0.3"/>
  <cols>
    <col min="1" max="1" width="5.44140625" style="38" customWidth="1"/>
    <col min="2" max="24" width="2.33203125" style="38" customWidth="1"/>
    <col min="25" max="29" width="2.109375" style="38" customWidth="1"/>
    <col min="30" max="38" width="2.33203125" style="38" customWidth="1"/>
    <col min="39" max="43" width="2.109375" style="38" customWidth="1"/>
    <col min="44" max="255" width="9.109375" style="38"/>
    <col min="256" max="280" width="2.33203125" style="38" customWidth="1"/>
    <col min="281" max="285" width="2.109375" style="38" customWidth="1"/>
    <col min="286" max="294" width="2.33203125" style="38" customWidth="1"/>
    <col min="295" max="299" width="2.109375" style="38" customWidth="1"/>
    <col min="300" max="511" width="9.109375" style="38"/>
    <col min="512" max="536" width="2.33203125" style="38" customWidth="1"/>
    <col min="537" max="541" width="2.109375" style="38" customWidth="1"/>
    <col min="542" max="550" width="2.33203125" style="38" customWidth="1"/>
    <col min="551" max="555" width="2.109375" style="38" customWidth="1"/>
    <col min="556" max="767" width="9.109375" style="38"/>
    <col min="768" max="792" width="2.33203125" style="38" customWidth="1"/>
    <col min="793" max="797" width="2.109375" style="38" customWidth="1"/>
    <col min="798" max="806" width="2.33203125" style="38" customWidth="1"/>
    <col min="807" max="811" width="2.109375" style="38" customWidth="1"/>
    <col min="812" max="1023" width="9.109375" style="38"/>
    <col min="1024" max="1048" width="2.33203125" style="38" customWidth="1"/>
    <col min="1049" max="1053" width="2.109375" style="38" customWidth="1"/>
    <col min="1054" max="1062" width="2.33203125" style="38" customWidth="1"/>
    <col min="1063" max="1067" width="2.109375" style="38" customWidth="1"/>
    <col min="1068" max="1279" width="9.109375" style="38"/>
    <col min="1280" max="1304" width="2.33203125" style="38" customWidth="1"/>
    <col min="1305" max="1309" width="2.109375" style="38" customWidth="1"/>
    <col min="1310" max="1318" width="2.33203125" style="38" customWidth="1"/>
    <col min="1319" max="1323" width="2.109375" style="38" customWidth="1"/>
    <col min="1324" max="1535" width="9.109375" style="38"/>
    <col min="1536" max="1560" width="2.33203125" style="38" customWidth="1"/>
    <col min="1561" max="1565" width="2.109375" style="38" customWidth="1"/>
    <col min="1566" max="1574" width="2.33203125" style="38" customWidth="1"/>
    <col min="1575" max="1579" width="2.109375" style="38" customWidth="1"/>
    <col min="1580" max="1791" width="9.109375" style="38"/>
    <col min="1792" max="1816" width="2.33203125" style="38" customWidth="1"/>
    <col min="1817" max="1821" width="2.109375" style="38" customWidth="1"/>
    <col min="1822" max="1830" width="2.33203125" style="38" customWidth="1"/>
    <col min="1831" max="1835" width="2.109375" style="38" customWidth="1"/>
    <col min="1836" max="2047" width="9.109375" style="38"/>
    <col min="2048" max="2072" width="2.33203125" style="38" customWidth="1"/>
    <col min="2073" max="2077" width="2.109375" style="38" customWidth="1"/>
    <col min="2078" max="2086" width="2.33203125" style="38" customWidth="1"/>
    <col min="2087" max="2091" width="2.109375" style="38" customWidth="1"/>
    <col min="2092" max="2303" width="9.109375" style="38"/>
    <col min="2304" max="2328" width="2.33203125" style="38" customWidth="1"/>
    <col min="2329" max="2333" width="2.109375" style="38" customWidth="1"/>
    <col min="2334" max="2342" width="2.33203125" style="38" customWidth="1"/>
    <col min="2343" max="2347" width="2.109375" style="38" customWidth="1"/>
    <col min="2348" max="2559" width="9.109375" style="38"/>
    <col min="2560" max="2584" width="2.33203125" style="38" customWidth="1"/>
    <col min="2585" max="2589" width="2.109375" style="38" customWidth="1"/>
    <col min="2590" max="2598" width="2.33203125" style="38" customWidth="1"/>
    <col min="2599" max="2603" width="2.109375" style="38" customWidth="1"/>
    <col min="2604" max="2815" width="9.109375" style="38"/>
    <col min="2816" max="2840" width="2.33203125" style="38" customWidth="1"/>
    <col min="2841" max="2845" width="2.109375" style="38" customWidth="1"/>
    <col min="2846" max="2854" width="2.33203125" style="38" customWidth="1"/>
    <col min="2855" max="2859" width="2.109375" style="38" customWidth="1"/>
    <col min="2860" max="3071" width="9.109375" style="38"/>
    <col min="3072" max="3096" width="2.33203125" style="38" customWidth="1"/>
    <col min="3097" max="3101" width="2.109375" style="38" customWidth="1"/>
    <col min="3102" max="3110" width="2.33203125" style="38" customWidth="1"/>
    <col min="3111" max="3115" width="2.109375" style="38" customWidth="1"/>
    <col min="3116" max="3327" width="9.109375" style="38"/>
    <col min="3328" max="3352" width="2.33203125" style="38" customWidth="1"/>
    <col min="3353" max="3357" width="2.109375" style="38" customWidth="1"/>
    <col min="3358" max="3366" width="2.33203125" style="38" customWidth="1"/>
    <col min="3367" max="3371" width="2.109375" style="38" customWidth="1"/>
    <col min="3372" max="3583" width="9.109375" style="38"/>
    <col min="3584" max="3608" width="2.33203125" style="38" customWidth="1"/>
    <col min="3609" max="3613" width="2.109375" style="38" customWidth="1"/>
    <col min="3614" max="3622" width="2.33203125" style="38" customWidth="1"/>
    <col min="3623" max="3627" width="2.109375" style="38" customWidth="1"/>
    <col min="3628" max="3839" width="9.109375" style="38"/>
    <col min="3840" max="3864" width="2.33203125" style="38" customWidth="1"/>
    <col min="3865" max="3869" width="2.109375" style="38" customWidth="1"/>
    <col min="3870" max="3878" width="2.33203125" style="38" customWidth="1"/>
    <col min="3879" max="3883" width="2.109375" style="38" customWidth="1"/>
    <col min="3884" max="4095" width="9.109375" style="38"/>
    <col min="4096" max="4120" width="2.33203125" style="38" customWidth="1"/>
    <col min="4121" max="4125" width="2.109375" style="38" customWidth="1"/>
    <col min="4126" max="4134" width="2.33203125" style="38" customWidth="1"/>
    <col min="4135" max="4139" width="2.109375" style="38" customWidth="1"/>
    <col min="4140" max="4351" width="9.109375" style="38"/>
    <col min="4352" max="4376" width="2.33203125" style="38" customWidth="1"/>
    <col min="4377" max="4381" width="2.109375" style="38" customWidth="1"/>
    <col min="4382" max="4390" width="2.33203125" style="38" customWidth="1"/>
    <col min="4391" max="4395" width="2.109375" style="38" customWidth="1"/>
    <col min="4396" max="4607" width="9.109375" style="38"/>
    <col min="4608" max="4632" width="2.33203125" style="38" customWidth="1"/>
    <col min="4633" max="4637" width="2.109375" style="38" customWidth="1"/>
    <col min="4638" max="4646" width="2.33203125" style="38" customWidth="1"/>
    <col min="4647" max="4651" width="2.109375" style="38" customWidth="1"/>
    <col min="4652" max="4863" width="9.109375" style="38"/>
    <col min="4864" max="4888" width="2.33203125" style="38" customWidth="1"/>
    <col min="4889" max="4893" width="2.109375" style="38" customWidth="1"/>
    <col min="4894" max="4902" width="2.33203125" style="38" customWidth="1"/>
    <col min="4903" max="4907" width="2.109375" style="38" customWidth="1"/>
    <col min="4908" max="5119" width="9.109375" style="38"/>
    <col min="5120" max="5144" width="2.33203125" style="38" customWidth="1"/>
    <col min="5145" max="5149" width="2.109375" style="38" customWidth="1"/>
    <col min="5150" max="5158" width="2.33203125" style="38" customWidth="1"/>
    <col min="5159" max="5163" width="2.109375" style="38" customWidth="1"/>
    <col min="5164" max="5375" width="9.109375" style="38"/>
    <col min="5376" max="5400" width="2.33203125" style="38" customWidth="1"/>
    <col min="5401" max="5405" width="2.109375" style="38" customWidth="1"/>
    <col min="5406" max="5414" width="2.33203125" style="38" customWidth="1"/>
    <col min="5415" max="5419" width="2.109375" style="38" customWidth="1"/>
    <col min="5420" max="5631" width="9.109375" style="38"/>
    <col min="5632" max="5656" width="2.33203125" style="38" customWidth="1"/>
    <col min="5657" max="5661" width="2.109375" style="38" customWidth="1"/>
    <col min="5662" max="5670" width="2.33203125" style="38" customWidth="1"/>
    <col min="5671" max="5675" width="2.109375" style="38" customWidth="1"/>
    <col min="5676" max="5887" width="9.109375" style="38"/>
    <col min="5888" max="5912" width="2.33203125" style="38" customWidth="1"/>
    <col min="5913" max="5917" width="2.109375" style="38" customWidth="1"/>
    <col min="5918" max="5926" width="2.33203125" style="38" customWidth="1"/>
    <col min="5927" max="5931" width="2.109375" style="38" customWidth="1"/>
    <col min="5932" max="6143" width="9.109375" style="38"/>
    <col min="6144" max="6168" width="2.33203125" style="38" customWidth="1"/>
    <col min="6169" max="6173" width="2.109375" style="38" customWidth="1"/>
    <col min="6174" max="6182" width="2.33203125" style="38" customWidth="1"/>
    <col min="6183" max="6187" width="2.109375" style="38" customWidth="1"/>
    <col min="6188" max="6399" width="9.109375" style="38"/>
    <col min="6400" max="6424" width="2.33203125" style="38" customWidth="1"/>
    <col min="6425" max="6429" width="2.109375" style="38" customWidth="1"/>
    <col min="6430" max="6438" width="2.33203125" style="38" customWidth="1"/>
    <col min="6439" max="6443" width="2.109375" style="38" customWidth="1"/>
    <col min="6444" max="6655" width="9.109375" style="38"/>
    <col min="6656" max="6680" width="2.33203125" style="38" customWidth="1"/>
    <col min="6681" max="6685" width="2.109375" style="38" customWidth="1"/>
    <col min="6686" max="6694" width="2.33203125" style="38" customWidth="1"/>
    <col min="6695" max="6699" width="2.109375" style="38" customWidth="1"/>
    <col min="6700" max="6911" width="9.109375" style="38"/>
    <col min="6912" max="6936" width="2.33203125" style="38" customWidth="1"/>
    <col min="6937" max="6941" width="2.109375" style="38" customWidth="1"/>
    <col min="6942" max="6950" width="2.33203125" style="38" customWidth="1"/>
    <col min="6951" max="6955" width="2.109375" style="38" customWidth="1"/>
    <col min="6956" max="7167" width="9.109375" style="38"/>
    <col min="7168" max="7192" width="2.33203125" style="38" customWidth="1"/>
    <col min="7193" max="7197" width="2.109375" style="38" customWidth="1"/>
    <col min="7198" max="7206" width="2.33203125" style="38" customWidth="1"/>
    <col min="7207" max="7211" width="2.109375" style="38" customWidth="1"/>
    <col min="7212" max="7423" width="9.109375" style="38"/>
    <col min="7424" max="7448" width="2.33203125" style="38" customWidth="1"/>
    <col min="7449" max="7453" width="2.109375" style="38" customWidth="1"/>
    <col min="7454" max="7462" width="2.33203125" style="38" customWidth="1"/>
    <col min="7463" max="7467" width="2.109375" style="38" customWidth="1"/>
    <col min="7468" max="7679" width="9.109375" style="38"/>
    <col min="7680" max="7704" width="2.33203125" style="38" customWidth="1"/>
    <col min="7705" max="7709" width="2.109375" style="38" customWidth="1"/>
    <col min="7710" max="7718" width="2.33203125" style="38" customWidth="1"/>
    <col min="7719" max="7723" width="2.109375" style="38" customWidth="1"/>
    <col min="7724" max="7935" width="9.109375" style="38"/>
    <col min="7936" max="7960" width="2.33203125" style="38" customWidth="1"/>
    <col min="7961" max="7965" width="2.109375" style="38" customWidth="1"/>
    <col min="7966" max="7974" width="2.33203125" style="38" customWidth="1"/>
    <col min="7975" max="7979" width="2.109375" style="38" customWidth="1"/>
    <col min="7980" max="8191" width="9.109375" style="38"/>
    <col min="8192" max="8216" width="2.33203125" style="38" customWidth="1"/>
    <col min="8217" max="8221" width="2.109375" style="38" customWidth="1"/>
    <col min="8222" max="8230" width="2.33203125" style="38" customWidth="1"/>
    <col min="8231" max="8235" width="2.109375" style="38" customWidth="1"/>
    <col min="8236" max="8447" width="9.109375" style="38"/>
    <col min="8448" max="8472" width="2.33203125" style="38" customWidth="1"/>
    <col min="8473" max="8477" width="2.109375" style="38" customWidth="1"/>
    <col min="8478" max="8486" width="2.33203125" style="38" customWidth="1"/>
    <col min="8487" max="8491" width="2.109375" style="38" customWidth="1"/>
    <col min="8492" max="8703" width="9.109375" style="38"/>
    <col min="8704" max="8728" width="2.33203125" style="38" customWidth="1"/>
    <col min="8729" max="8733" width="2.109375" style="38" customWidth="1"/>
    <col min="8734" max="8742" width="2.33203125" style="38" customWidth="1"/>
    <col min="8743" max="8747" width="2.109375" style="38" customWidth="1"/>
    <col min="8748" max="8959" width="9.109375" style="38"/>
    <col min="8960" max="8984" width="2.33203125" style="38" customWidth="1"/>
    <col min="8985" max="8989" width="2.109375" style="38" customWidth="1"/>
    <col min="8990" max="8998" width="2.33203125" style="38" customWidth="1"/>
    <col min="8999" max="9003" width="2.109375" style="38" customWidth="1"/>
    <col min="9004" max="9215" width="9.109375" style="38"/>
    <col min="9216" max="9240" width="2.33203125" style="38" customWidth="1"/>
    <col min="9241" max="9245" width="2.109375" style="38" customWidth="1"/>
    <col min="9246" max="9254" width="2.33203125" style="38" customWidth="1"/>
    <col min="9255" max="9259" width="2.109375" style="38" customWidth="1"/>
    <col min="9260" max="9471" width="9.109375" style="38"/>
    <col min="9472" max="9496" width="2.33203125" style="38" customWidth="1"/>
    <col min="9497" max="9501" width="2.109375" style="38" customWidth="1"/>
    <col min="9502" max="9510" width="2.33203125" style="38" customWidth="1"/>
    <col min="9511" max="9515" width="2.109375" style="38" customWidth="1"/>
    <col min="9516" max="9727" width="9.109375" style="38"/>
    <col min="9728" max="9752" width="2.33203125" style="38" customWidth="1"/>
    <col min="9753" max="9757" width="2.109375" style="38" customWidth="1"/>
    <col min="9758" max="9766" width="2.33203125" style="38" customWidth="1"/>
    <col min="9767" max="9771" width="2.109375" style="38" customWidth="1"/>
    <col min="9772" max="9983" width="9.109375" style="38"/>
    <col min="9984" max="10008" width="2.33203125" style="38" customWidth="1"/>
    <col min="10009" max="10013" width="2.109375" style="38" customWidth="1"/>
    <col min="10014" max="10022" width="2.33203125" style="38" customWidth="1"/>
    <col min="10023" max="10027" width="2.109375" style="38" customWidth="1"/>
    <col min="10028" max="10239" width="9.109375" style="38"/>
    <col min="10240" max="10264" width="2.33203125" style="38" customWidth="1"/>
    <col min="10265" max="10269" width="2.109375" style="38" customWidth="1"/>
    <col min="10270" max="10278" width="2.33203125" style="38" customWidth="1"/>
    <col min="10279" max="10283" width="2.109375" style="38" customWidth="1"/>
    <col min="10284" max="10495" width="9.109375" style="38"/>
    <col min="10496" max="10520" width="2.33203125" style="38" customWidth="1"/>
    <col min="10521" max="10525" width="2.109375" style="38" customWidth="1"/>
    <col min="10526" max="10534" width="2.33203125" style="38" customWidth="1"/>
    <col min="10535" max="10539" width="2.109375" style="38" customWidth="1"/>
    <col min="10540" max="10751" width="9.109375" style="38"/>
    <col min="10752" max="10776" width="2.33203125" style="38" customWidth="1"/>
    <col min="10777" max="10781" width="2.109375" style="38" customWidth="1"/>
    <col min="10782" max="10790" width="2.33203125" style="38" customWidth="1"/>
    <col min="10791" max="10795" width="2.109375" style="38" customWidth="1"/>
    <col min="10796" max="11007" width="9.109375" style="38"/>
    <col min="11008" max="11032" width="2.33203125" style="38" customWidth="1"/>
    <col min="11033" max="11037" width="2.109375" style="38" customWidth="1"/>
    <col min="11038" max="11046" width="2.33203125" style="38" customWidth="1"/>
    <col min="11047" max="11051" width="2.109375" style="38" customWidth="1"/>
    <col min="11052" max="11263" width="9.109375" style="38"/>
    <col min="11264" max="11288" width="2.33203125" style="38" customWidth="1"/>
    <col min="11289" max="11293" width="2.109375" style="38" customWidth="1"/>
    <col min="11294" max="11302" width="2.33203125" style="38" customWidth="1"/>
    <col min="11303" max="11307" width="2.109375" style="38" customWidth="1"/>
    <col min="11308" max="11519" width="9.109375" style="38"/>
    <col min="11520" max="11544" width="2.33203125" style="38" customWidth="1"/>
    <col min="11545" max="11549" width="2.109375" style="38" customWidth="1"/>
    <col min="11550" max="11558" width="2.33203125" style="38" customWidth="1"/>
    <col min="11559" max="11563" width="2.109375" style="38" customWidth="1"/>
    <col min="11564" max="11775" width="9.109375" style="38"/>
    <col min="11776" max="11800" width="2.33203125" style="38" customWidth="1"/>
    <col min="11801" max="11805" width="2.109375" style="38" customWidth="1"/>
    <col min="11806" max="11814" width="2.33203125" style="38" customWidth="1"/>
    <col min="11815" max="11819" width="2.109375" style="38" customWidth="1"/>
    <col min="11820" max="12031" width="9.109375" style="38"/>
    <col min="12032" max="12056" width="2.33203125" style="38" customWidth="1"/>
    <col min="12057" max="12061" width="2.109375" style="38" customWidth="1"/>
    <col min="12062" max="12070" width="2.33203125" style="38" customWidth="1"/>
    <col min="12071" max="12075" width="2.109375" style="38" customWidth="1"/>
    <col min="12076" max="12287" width="9.109375" style="38"/>
    <col min="12288" max="12312" width="2.33203125" style="38" customWidth="1"/>
    <col min="12313" max="12317" width="2.109375" style="38" customWidth="1"/>
    <col min="12318" max="12326" width="2.33203125" style="38" customWidth="1"/>
    <col min="12327" max="12331" width="2.109375" style="38" customWidth="1"/>
    <col min="12332" max="12543" width="9.109375" style="38"/>
    <col min="12544" max="12568" width="2.33203125" style="38" customWidth="1"/>
    <col min="12569" max="12573" width="2.109375" style="38" customWidth="1"/>
    <col min="12574" max="12582" width="2.33203125" style="38" customWidth="1"/>
    <col min="12583" max="12587" width="2.109375" style="38" customWidth="1"/>
    <col min="12588" max="12799" width="9.109375" style="38"/>
    <col min="12800" max="12824" width="2.33203125" style="38" customWidth="1"/>
    <col min="12825" max="12829" width="2.109375" style="38" customWidth="1"/>
    <col min="12830" max="12838" width="2.33203125" style="38" customWidth="1"/>
    <col min="12839" max="12843" width="2.109375" style="38" customWidth="1"/>
    <col min="12844" max="13055" width="9.109375" style="38"/>
    <col min="13056" max="13080" width="2.33203125" style="38" customWidth="1"/>
    <col min="13081" max="13085" width="2.109375" style="38" customWidth="1"/>
    <col min="13086" max="13094" width="2.33203125" style="38" customWidth="1"/>
    <col min="13095" max="13099" width="2.109375" style="38" customWidth="1"/>
    <col min="13100" max="13311" width="9.109375" style="38"/>
    <col min="13312" max="13336" width="2.33203125" style="38" customWidth="1"/>
    <col min="13337" max="13341" width="2.109375" style="38" customWidth="1"/>
    <col min="13342" max="13350" width="2.33203125" style="38" customWidth="1"/>
    <col min="13351" max="13355" width="2.109375" style="38" customWidth="1"/>
    <col min="13356" max="13567" width="9.109375" style="38"/>
    <col min="13568" max="13592" width="2.33203125" style="38" customWidth="1"/>
    <col min="13593" max="13597" width="2.109375" style="38" customWidth="1"/>
    <col min="13598" max="13606" width="2.33203125" style="38" customWidth="1"/>
    <col min="13607" max="13611" width="2.109375" style="38" customWidth="1"/>
    <col min="13612" max="13823" width="9.109375" style="38"/>
    <col min="13824" max="13848" width="2.33203125" style="38" customWidth="1"/>
    <col min="13849" max="13853" width="2.109375" style="38" customWidth="1"/>
    <col min="13854" max="13862" width="2.33203125" style="38" customWidth="1"/>
    <col min="13863" max="13867" width="2.109375" style="38" customWidth="1"/>
    <col min="13868" max="14079" width="9.109375" style="38"/>
    <col min="14080" max="14104" width="2.33203125" style="38" customWidth="1"/>
    <col min="14105" max="14109" width="2.109375" style="38" customWidth="1"/>
    <col min="14110" max="14118" width="2.33203125" style="38" customWidth="1"/>
    <col min="14119" max="14123" width="2.109375" style="38" customWidth="1"/>
    <col min="14124" max="14335" width="9.109375" style="38"/>
    <col min="14336" max="14360" width="2.33203125" style="38" customWidth="1"/>
    <col min="14361" max="14365" width="2.109375" style="38" customWidth="1"/>
    <col min="14366" max="14374" width="2.33203125" style="38" customWidth="1"/>
    <col min="14375" max="14379" width="2.109375" style="38" customWidth="1"/>
    <col min="14380" max="14591" width="9.109375" style="38"/>
    <col min="14592" max="14616" width="2.33203125" style="38" customWidth="1"/>
    <col min="14617" max="14621" width="2.109375" style="38" customWidth="1"/>
    <col min="14622" max="14630" width="2.33203125" style="38" customWidth="1"/>
    <col min="14631" max="14635" width="2.109375" style="38" customWidth="1"/>
    <col min="14636" max="14847" width="9.109375" style="38"/>
    <col min="14848" max="14872" width="2.33203125" style="38" customWidth="1"/>
    <col min="14873" max="14877" width="2.109375" style="38" customWidth="1"/>
    <col min="14878" max="14886" width="2.33203125" style="38" customWidth="1"/>
    <col min="14887" max="14891" width="2.109375" style="38" customWidth="1"/>
    <col min="14892" max="15103" width="9.109375" style="38"/>
    <col min="15104" max="15128" width="2.33203125" style="38" customWidth="1"/>
    <col min="15129" max="15133" width="2.109375" style="38" customWidth="1"/>
    <col min="15134" max="15142" width="2.33203125" style="38" customWidth="1"/>
    <col min="15143" max="15147" width="2.109375" style="38" customWidth="1"/>
    <col min="15148" max="15359" width="9.109375" style="38"/>
    <col min="15360" max="15384" width="2.33203125" style="38" customWidth="1"/>
    <col min="15385" max="15389" width="2.109375" style="38" customWidth="1"/>
    <col min="15390" max="15398" width="2.33203125" style="38" customWidth="1"/>
    <col min="15399" max="15403" width="2.109375" style="38" customWidth="1"/>
    <col min="15404" max="15615" width="9.109375" style="38"/>
    <col min="15616" max="15640" width="2.33203125" style="38" customWidth="1"/>
    <col min="15641" max="15645" width="2.109375" style="38" customWidth="1"/>
    <col min="15646" max="15654" width="2.33203125" style="38" customWidth="1"/>
    <col min="15655" max="15659" width="2.109375" style="38" customWidth="1"/>
    <col min="15660" max="15871" width="9.109375" style="38"/>
    <col min="15872" max="15896" width="2.33203125" style="38" customWidth="1"/>
    <col min="15897" max="15901" width="2.109375" style="38" customWidth="1"/>
    <col min="15902" max="15910" width="2.33203125" style="38" customWidth="1"/>
    <col min="15911" max="15915" width="2.109375" style="38" customWidth="1"/>
    <col min="15916" max="16127" width="9.109375" style="38"/>
    <col min="16128" max="16152" width="2.33203125" style="38" customWidth="1"/>
    <col min="16153" max="16157" width="2.109375" style="38" customWidth="1"/>
    <col min="16158" max="16166" width="2.33203125" style="38" customWidth="1"/>
    <col min="16167" max="16171" width="2.109375" style="38" customWidth="1"/>
    <col min="16172" max="16384" width="9.109375" style="38"/>
  </cols>
  <sheetData>
    <row r="1" spans="1:45" ht="21" thickBot="1" x14ac:dyDescent="0.35">
      <c r="A1" s="37" t="s">
        <v>156</v>
      </c>
      <c r="AM1" s="43">
        <v>1.3888888888888888E-2</v>
      </c>
      <c r="AS1" s="43"/>
    </row>
    <row r="2" spans="1:45" ht="21.6" thickBot="1" x14ac:dyDescent="0.35">
      <c r="A2" s="237">
        <v>1</v>
      </c>
      <c r="B2" s="453" t="str">
        <f>VLOOKUP($A2,Wedstrijden!$A$6:$I$20,5,0)</f>
        <v>VZ&amp;PC Nautilus 1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 t="str">
        <f>VLOOKUP($A2,Wedstrijden!$A$6:$I$20,9,0)</f>
        <v>RZ Roermond</v>
      </c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3"/>
      <c r="AH2" s="453"/>
      <c r="AI2" s="453"/>
      <c r="AJ2" s="453"/>
      <c r="AK2" s="226"/>
      <c r="AL2" s="226"/>
      <c r="AM2" s="238"/>
      <c r="AN2" s="226"/>
      <c r="AO2" s="226"/>
      <c r="AP2" s="226"/>
      <c r="AQ2" s="229"/>
      <c r="AS2" s="43"/>
    </row>
    <row r="3" spans="1:45" ht="18.600000000000001" thickBot="1" x14ac:dyDescent="0.35">
      <c r="A3" s="173" t="s">
        <v>69</v>
      </c>
      <c r="B3" s="174"/>
      <c r="C3" s="174"/>
      <c r="D3" s="174"/>
      <c r="E3" s="174"/>
      <c r="F3" s="174"/>
      <c r="G3" s="174"/>
      <c r="H3" s="175" t="s">
        <v>16</v>
      </c>
      <c r="I3" s="174"/>
      <c r="J3" s="174"/>
      <c r="K3" s="174" t="s">
        <v>70</v>
      </c>
      <c r="L3" s="174"/>
      <c r="M3" s="174"/>
      <c r="N3" s="174"/>
      <c r="O3" s="174"/>
      <c r="P3" s="174"/>
      <c r="Q3" s="174"/>
      <c r="R3" s="174"/>
      <c r="S3" s="174"/>
      <c r="T3" s="174"/>
      <c r="U3" s="176" t="s">
        <v>123</v>
      </c>
      <c r="V3" s="174"/>
      <c r="W3" s="174"/>
      <c r="X3" s="174"/>
      <c r="Y3" s="174"/>
      <c r="Z3" s="174"/>
      <c r="AA3" s="174"/>
      <c r="AB3" s="174"/>
      <c r="AC3" s="224"/>
      <c r="AD3" s="173" t="s">
        <v>71</v>
      </c>
      <c r="AE3" s="174"/>
      <c r="AF3" s="174"/>
      <c r="AG3" s="174"/>
      <c r="AH3" s="174"/>
      <c r="AI3" s="174"/>
      <c r="AJ3" s="174"/>
      <c r="AK3" s="176" t="s">
        <v>124</v>
      </c>
      <c r="AL3" s="174"/>
      <c r="AM3" s="174"/>
      <c r="AN3" s="174"/>
      <c r="AO3" s="174"/>
      <c r="AP3" s="174"/>
      <c r="AQ3" s="224"/>
    </row>
    <row r="4" spans="1:45" x14ac:dyDescent="0.3">
      <c r="A4" s="225" t="s">
        <v>72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7"/>
      <c r="O4" s="228" t="s">
        <v>72</v>
      </c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7"/>
      <c r="AD4" s="228" t="s">
        <v>72</v>
      </c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9"/>
    </row>
    <row r="5" spans="1:45" x14ac:dyDescent="0.3">
      <c r="A5" s="222"/>
      <c r="N5" s="221"/>
      <c r="O5" s="50"/>
      <c r="AC5" s="221"/>
      <c r="AD5" s="50"/>
      <c r="AQ5" s="223"/>
    </row>
    <row r="6" spans="1:45" ht="14.4" thickBot="1" x14ac:dyDescent="0.3">
      <c r="A6" s="230" t="s">
        <v>73</v>
      </c>
      <c r="B6" s="231"/>
      <c r="C6" s="231"/>
      <c r="D6" s="231"/>
      <c r="E6" s="231"/>
      <c r="F6" s="231"/>
      <c r="G6" s="231"/>
      <c r="H6" s="232" t="s">
        <v>74</v>
      </c>
      <c r="I6" s="231"/>
      <c r="J6" s="231"/>
      <c r="K6" s="231"/>
      <c r="L6" s="231"/>
      <c r="M6" s="231"/>
      <c r="N6" s="233"/>
      <c r="O6" s="234" t="s">
        <v>73</v>
      </c>
      <c r="P6" s="231"/>
      <c r="Q6" s="231"/>
      <c r="R6" s="231"/>
      <c r="S6" s="231"/>
      <c r="T6" s="231"/>
      <c r="U6" s="231"/>
      <c r="V6" s="232" t="s">
        <v>75</v>
      </c>
      <c r="W6" s="231"/>
      <c r="X6" s="231"/>
      <c r="Y6" s="231"/>
      <c r="Z6" s="231"/>
      <c r="AA6" s="231"/>
      <c r="AB6" s="231"/>
      <c r="AC6" s="233"/>
      <c r="AD6" s="234" t="s">
        <v>25</v>
      </c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</row>
    <row r="7" spans="1:45" ht="21.6" thickBot="1" x14ac:dyDescent="0.35">
      <c r="A7" s="239">
        <v>2</v>
      </c>
      <c r="B7" s="452" t="str">
        <f>VLOOKUP($A7,Wedstrijden!$A$6:$I$20,5,0)</f>
        <v>SVG Den Bosch</v>
      </c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 t="str">
        <f>VLOOKUP($A7,Wedstrijden!$A$6:$I$20,9,0)</f>
        <v>Gesposs Blauw</v>
      </c>
      <c r="T7" s="452"/>
      <c r="U7" s="452"/>
      <c r="V7" s="452"/>
      <c r="W7" s="452"/>
      <c r="X7" s="452"/>
      <c r="Y7" s="452"/>
      <c r="Z7" s="452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M7" s="43"/>
      <c r="AQ7" s="223"/>
    </row>
    <row r="8" spans="1:45" ht="18.600000000000001" thickBot="1" x14ac:dyDescent="0.35">
      <c r="A8" s="173" t="s">
        <v>69</v>
      </c>
      <c r="B8" s="174"/>
      <c r="C8" s="174"/>
      <c r="D8" s="174"/>
      <c r="E8" s="174"/>
      <c r="F8" s="174"/>
      <c r="G8" s="174"/>
      <c r="H8" s="175" t="s">
        <v>16</v>
      </c>
      <c r="I8" s="174"/>
      <c r="J8" s="174"/>
      <c r="K8" s="174" t="s">
        <v>70</v>
      </c>
      <c r="L8" s="174"/>
      <c r="M8" s="174"/>
      <c r="N8" s="174"/>
      <c r="O8" s="174"/>
      <c r="P8" s="174"/>
      <c r="Q8" s="174"/>
      <c r="R8" s="174"/>
      <c r="S8" s="174"/>
      <c r="T8" s="174"/>
      <c r="U8" s="176" t="s">
        <v>123</v>
      </c>
      <c r="V8" s="174"/>
      <c r="W8" s="174"/>
      <c r="X8" s="174"/>
      <c r="Y8" s="174"/>
      <c r="Z8" s="174"/>
      <c r="AA8" s="174"/>
      <c r="AB8" s="174"/>
      <c r="AC8" s="224"/>
      <c r="AD8" s="173" t="s">
        <v>71</v>
      </c>
      <c r="AE8" s="174"/>
      <c r="AF8" s="174"/>
      <c r="AG8" s="174"/>
      <c r="AH8" s="174"/>
      <c r="AI8" s="174"/>
      <c r="AJ8" s="174"/>
      <c r="AK8" s="176" t="s">
        <v>124</v>
      </c>
      <c r="AL8" s="174"/>
      <c r="AM8" s="174"/>
      <c r="AN8" s="174"/>
      <c r="AO8" s="174"/>
      <c r="AP8" s="174"/>
      <c r="AQ8" s="224"/>
    </row>
    <row r="9" spans="1:45" x14ac:dyDescent="0.3">
      <c r="A9" s="225" t="s">
        <v>72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7"/>
      <c r="O9" s="228" t="s">
        <v>72</v>
      </c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7"/>
      <c r="AD9" s="228" t="s">
        <v>72</v>
      </c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9"/>
    </row>
    <row r="10" spans="1:45" x14ac:dyDescent="0.3">
      <c r="A10" s="222"/>
      <c r="N10" s="221"/>
      <c r="O10" s="50"/>
      <c r="AC10" s="221"/>
      <c r="AD10" s="50"/>
      <c r="AQ10" s="223"/>
    </row>
    <row r="11" spans="1:45" ht="14.4" thickBot="1" x14ac:dyDescent="0.3">
      <c r="A11" s="230" t="s">
        <v>73</v>
      </c>
      <c r="B11" s="231"/>
      <c r="C11" s="231"/>
      <c r="D11" s="231"/>
      <c r="E11" s="231"/>
      <c r="F11" s="231"/>
      <c r="G11" s="231"/>
      <c r="H11" s="232" t="s">
        <v>74</v>
      </c>
      <c r="I11" s="231"/>
      <c r="J11" s="231"/>
      <c r="K11" s="231"/>
      <c r="L11" s="231"/>
      <c r="M11" s="231"/>
      <c r="N11" s="233"/>
      <c r="O11" s="234" t="s">
        <v>73</v>
      </c>
      <c r="P11" s="231"/>
      <c r="Q11" s="231"/>
      <c r="R11" s="231"/>
      <c r="S11" s="231"/>
      <c r="T11" s="231"/>
      <c r="U11" s="231"/>
      <c r="V11" s="232" t="s">
        <v>75</v>
      </c>
      <c r="W11" s="231"/>
      <c r="X11" s="231"/>
      <c r="Y11" s="231"/>
      <c r="Z11" s="231"/>
      <c r="AA11" s="231"/>
      <c r="AB11" s="231"/>
      <c r="AC11" s="233"/>
      <c r="AD11" s="234" t="s">
        <v>25</v>
      </c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6"/>
    </row>
    <row r="12" spans="1:45" ht="21.6" thickBot="1" x14ac:dyDescent="0.35">
      <c r="A12" s="239">
        <v>3</v>
      </c>
      <c r="B12" s="452" t="str">
        <f>VLOOKUP($A12,Wedstrijden!$A$6:$I$20,5,0)</f>
        <v>Gesposs Geel</v>
      </c>
      <c r="C12" s="452"/>
      <c r="D12" s="452"/>
      <c r="E12" s="452"/>
      <c r="F12" s="452"/>
      <c r="G12" s="452"/>
      <c r="H12" s="452"/>
      <c r="I12" s="452"/>
      <c r="J12" s="452"/>
      <c r="K12" s="452"/>
      <c r="L12" s="452"/>
      <c r="M12" s="452"/>
      <c r="N12" s="452"/>
      <c r="O12" s="452"/>
      <c r="P12" s="452"/>
      <c r="Q12" s="452"/>
      <c r="R12" s="452"/>
      <c r="S12" s="452" t="str">
        <f>VLOOKUP($A12,Wedstrijden!$A$6:$I$20,9,0)</f>
        <v>VZ&amp;PC Nautilus 2</v>
      </c>
      <c r="T12" s="452"/>
      <c r="U12" s="452"/>
      <c r="V12" s="452"/>
      <c r="W12" s="452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M12" s="43"/>
      <c r="AQ12" s="223"/>
    </row>
    <row r="13" spans="1:45" ht="18.600000000000001" thickBot="1" x14ac:dyDescent="0.35">
      <c r="A13" s="173" t="s">
        <v>69</v>
      </c>
      <c r="B13" s="174"/>
      <c r="C13" s="174"/>
      <c r="D13" s="174"/>
      <c r="E13" s="174"/>
      <c r="F13" s="174"/>
      <c r="G13" s="174"/>
      <c r="H13" s="175" t="s">
        <v>16</v>
      </c>
      <c r="I13" s="174"/>
      <c r="J13" s="174"/>
      <c r="K13" s="174" t="s">
        <v>70</v>
      </c>
      <c r="L13" s="174"/>
      <c r="M13" s="174"/>
      <c r="N13" s="174"/>
      <c r="O13" s="174"/>
      <c r="P13" s="174"/>
      <c r="Q13" s="174"/>
      <c r="R13" s="174"/>
      <c r="S13" s="174"/>
      <c r="T13" s="174"/>
      <c r="U13" s="176" t="s">
        <v>123</v>
      </c>
      <c r="V13" s="174"/>
      <c r="W13" s="174"/>
      <c r="X13" s="174"/>
      <c r="Y13" s="174"/>
      <c r="Z13" s="174"/>
      <c r="AA13" s="174"/>
      <c r="AB13" s="174"/>
      <c r="AC13" s="224"/>
      <c r="AD13" s="173" t="s">
        <v>71</v>
      </c>
      <c r="AE13" s="174"/>
      <c r="AF13" s="174"/>
      <c r="AG13" s="174"/>
      <c r="AH13" s="174"/>
      <c r="AI13" s="174"/>
      <c r="AJ13" s="174"/>
      <c r="AK13" s="176" t="s">
        <v>124</v>
      </c>
      <c r="AL13" s="174"/>
      <c r="AM13" s="174"/>
      <c r="AN13" s="174"/>
      <c r="AO13" s="174"/>
      <c r="AP13" s="174"/>
      <c r="AQ13" s="224"/>
    </row>
    <row r="14" spans="1:45" x14ac:dyDescent="0.3">
      <c r="A14" s="225" t="s">
        <v>72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7"/>
      <c r="O14" s="228" t="s">
        <v>72</v>
      </c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7"/>
      <c r="AD14" s="228" t="s">
        <v>72</v>
      </c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9"/>
    </row>
    <row r="15" spans="1:45" x14ac:dyDescent="0.3">
      <c r="A15" s="222"/>
      <c r="N15" s="221"/>
      <c r="O15" s="50"/>
      <c r="AC15" s="221"/>
      <c r="AD15" s="50"/>
      <c r="AQ15" s="223"/>
    </row>
    <row r="16" spans="1:45" ht="14.4" thickBot="1" x14ac:dyDescent="0.3">
      <c r="A16" s="230" t="s">
        <v>73</v>
      </c>
      <c r="B16" s="231"/>
      <c r="C16" s="231"/>
      <c r="D16" s="231"/>
      <c r="E16" s="231"/>
      <c r="F16" s="231"/>
      <c r="G16" s="231"/>
      <c r="H16" s="232" t="s">
        <v>74</v>
      </c>
      <c r="I16" s="231"/>
      <c r="J16" s="231"/>
      <c r="K16" s="231"/>
      <c r="L16" s="231"/>
      <c r="M16" s="231"/>
      <c r="N16" s="233"/>
      <c r="O16" s="234" t="s">
        <v>73</v>
      </c>
      <c r="P16" s="231"/>
      <c r="Q16" s="231"/>
      <c r="R16" s="231"/>
      <c r="S16" s="231"/>
      <c r="T16" s="231"/>
      <c r="U16" s="231"/>
      <c r="V16" s="232" t="s">
        <v>75</v>
      </c>
      <c r="W16" s="231"/>
      <c r="X16" s="231"/>
      <c r="Y16" s="231"/>
      <c r="Z16" s="231"/>
      <c r="AA16" s="231"/>
      <c r="AB16" s="231"/>
      <c r="AC16" s="233"/>
      <c r="AD16" s="234" t="s">
        <v>25</v>
      </c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6"/>
    </row>
    <row r="17" spans="1:43" ht="21.6" thickBot="1" x14ac:dyDescent="0.35">
      <c r="A17" s="239">
        <v>4</v>
      </c>
      <c r="B17" s="452" t="str">
        <f>VLOOKUP($A17,Wedstrijden!$A$6:$I$20,5,0)</f>
        <v>De Tubanten 1</v>
      </c>
      <c r="C17" s="452"/>
      <c r="D17" s="452"/>
      <c r="E17" s="452"/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 t="str">
        <f>VLOOKUP($A17,Wedstrijden!$A$6:$I$20,9,0)</f>
        <v>De Tubanten 2</v>
      </c>
      <c r="T17" s="452"/>
      <c r="U17" s="452"/>
      <c r="V17" s="452"/>
      <c r="W17" s="452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M17" s="43"/>
      <c r="AQ17" s="223"/>
    </row>
    <row r="18" spans="1:43" ht="18.600000000000001" thickBot="1" x14ac:dyDescent="0.35">
      <c r="A18" s="173" t="s">
        <v>69</v>
      </c>
      <c r="B18" s="174"/>
      <c r="C18" s="174"/>
      <c r="D18" s="174"/>
      <c r="E18" s="174"/>
      <c r="F18" s="174"/>
      <c r="G18" s="174"/>
      <c r="H18" s="175" t="s">
        <v>16</v>
      </c>
      <c r="I18" s="174"/>
      <c r="J18" s="174"/>
      <c r="K18" s="174" t="s">
        <v>70</v>
      </c>
      <c r="L18" s="174"/>
      <c r="M18" s="174"/>
      <c r="N18" s="174"/>
      <c r="O18" s="174"/>
      <c r="P18" s="174"/>
      <c r="Q18" s="174"/>
      <c r="R18" s="174"/>
      <c r="S18" s="174"/>
      <c r="T18" s="174"/>
      <c r="U18" s="176" t="s">
        <v>123</v>
      </c>
      <c r="V18" s="174"/>
      <c r="W18" s="174"/>
      <c r="X18" s="174"/>
      <c r="Y18" s="174"/>
      <c r="Z18" s="174"/>
      <c r="AA18" s="174"/>
      <c r="AB18" s="174"/>
      <c r="AC18" s="224"/>
      <c r="AD18" s="173" t="s">
        <v>71</v>
      </c>
      <c r="AE18" s="174"/>
      <c r="AF18" s="174"/>
      <c r="AG18" s="174"/>
      <c r="AH18" s="174"/>
      <c r="AI18" s="174"/>
      <c r="AJ18" s="174"/>
      <c r="AK18" s="176" t="s">
        <v>124</v>
      </c>
      <c r="AL18" s="174"/>
      <c r="AM18" s="174"/>
      <c r="AN18" s="174"/>
      <c r="AO18" s="174"/>
      <c r="AP18" s="174"/>
      <c r="AQ18" s="224"/>
    </row>
    <row r="19" spans="1:43" x14ac:dyDescent="0.3">
      <c r="A19" s="225" t="s">
        <v>72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7"/>
      <c r="O19" s="228" t="s">
        <v>72</v>
      </c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7"/>
      <c r="AD19" s="228" t="s">
        <v>72</v>
      </c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9"/>
    </row>
    <row r="20" spans="1:43" x14ac:dyDescent="0.3">
      <c r="A20" s="222"/>
      <c r="N20" s="221"/>
      <c r="O20" s="50"/>
      <c r="AC20" s="221"/>
      <c r="AD20" s="50"/>
      <c r="AQ20" s="223"/>
    </row>
    <row r="21" spans="1:43" ht="14.4" thickBot="1" x14ac:dyDescent="0.3">
      <c r="A21" s="230" t="s">
        <v>73</v>
      </c>
      <c r="B21" s="231"/>
      <c r="C21" s="231"/>
      <c r="D21" s="231"/>
      <c r="E21" s="231"/>
      <c r="F21" s="231"/>
      <c r="G21" s="231"/>
      <c r="H21" s="232" t="s">
        <v>74</v>
      </c>
      <c r="I21" s="231"/>
      <c r="J21" s="231"/>
      <c r="K21" s="231"/>
      <c r="L21" s="231"/>
      <c r="M21" s="231"/>
      <c r="N21" s="233"/>
      <c r="O21" s="234" t="s">
        <v>73</v>
      </c>
      <c r="P21" s="231"/>
      <c r="Q21" s="231"/>
      <c r="R21" s="231"/>
      <c r="S21" s="231"/>
      <c r="T21" s="231"/>
      <c r="U21" s="231"/>
      <c r="V21" s="232" t="s">
        <v>75</v>
      </c>
      <c r="W21" s="231"/>
      <c r="X21" s="231"/>
      <c r="Y21" s="231"/>
      <c r="Z21" s="231"/>
      <c r="AA21" s="231"/>
      <c r="AB21" s="231"/>
      <c r="AC21" s="233"/>
      <c r="AD21" s="234" t="s">
        <v>25</v>
      </c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6"/>
    </row>
    <row r="22" spans="1:43" ht="21.6" thickBot="1" x14ac:dyDescent="0.35">
      <c r="A22" s="239">
        <v>5</v>
      </c>
      <c r="B22" s="452" t="str">
        <f>VLOOKUP($A22,Wedstrijden!$A$6:$I$20,5,0)</f>
        <v>Aqua Novio</v>
      </c>
      <c r="C22" s="452"/>
      <c r="D22" s="452"/>
      <c r="E22" s="452"/>
      <c r="F22" s="452"/>
      <c r="G22" s="452"/>
      <c r="H22" s="452"/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2" t="str">
        <f>VLOOKUP($A22,Wedstrijden!$A$6:$I$20,9,0)</f>
        <v>RZ Roermond</v>
      </c>
      <c r="T22" s="452"/>
      <c r="U22" s="452"/>
      <c r="V22" s="452"/>
      <c r="W22" s="452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M22" s="43"/>
      <c r="AQ22" s="223"/>
    </row>
    <row r="23" spans="1:43" ht="18.600000000000001" thickBot="1" x14ac:dyDescent="0.35">
      <c r="A23" s="173" t="s">
        <v>69</v>
      </c>
      <c r="B23" s="174"/>
      <c r="C23" s="174"/>
      <c r="D23" s="174"/>
      <c r="E23" s="174"/>
      <c r="F23" s="174"/>
      <c r="G23" s="174"/>
      <c r="H23" s="175" t="s">
        <v>16</v>
      </c>
      <c r="I23" s="174"/>
      <c r="J23" s="174"/>
      <c r="K23" s="174" t="s">
        <v>70</v>
      </c>
      <c r="L23" s="174"/>
      <c r="M23" s="174"/>
      <c r="N23" s="174"/>
      <c r="O23" s="174"/>
      <c r="P23" s="174"/>
      <c r="Q23" s="174"/>
      <c r="R23" s="174"/>
      <c r="S23" s="174"/>
      <c r="T23" s="174"/>
      <c r="U23" s="176" t="s">
        <v>123</v>
      </c>
      <c r="V23" s="174"/>
      <c r="W23" s="174"/>
      <c r="X23" s="174"/>
      <c r="Y23" s="174"/>
      <c r="Z23" s="174"/>
      <c r="AA23" s="174"/>
      <c r="AB23" s="174"/>
      <c r="AC23" s="224"/>
      <c r="AD23" s="173" t="s">
        <v>71</v>
      </c>
      <c r="AE23" s="174"/>
      <c r="AF23" s="174"/>
      <c r="AG23" s="174"/>
      <c r="AH23" s="174"/>
      <c r="AI23" s="174"/>
      <c r="AJ23" s="174"/>
      <c r="AK23" s="176" t="s">
        <v>124</v>
      </c>
      <c r="AL23" s="174"/>
      <c r="AM23" s="174"/>
      <c r="AN23" s="174"/>
      <c r="AO23" s="174"/>
      <c r="AP23" s="174"/>
      <c r="AQ23" s="224"/>
    </row>
    <row r="24" spans="1:43" x14ac:dyDescent="0.3">
      <c r="A24" s="225" t="s">
        <v>72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7"/>
      <c r="O24" s="228" t="s">
        <v>72</v>
      </c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7"/>
      <c r="AD24" s="228" t="s">
        <v>72</v>
      </c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9"/>
    </row>
    <row r="25" spans="1:43" x14ac:dyDescent="0.3">
      <c r="A25" s="222"/>
      <c r="N25" s="221"/>
      <c r="O25" s="50"/>
      <c r="AC25" s="221"/>
      <c r="AD25" s="50"/>
      <c r="AQ25" s="223"/>
    </row>
    <row r="26" spans="1:43" ht="14.4" thickBot="1" x14ac:dyDescent="0.3">
      <c r="A26" s="230" t="s">
        <v>73</v>
      </c>
      <c r="B26" s="231"/>
      <c r="C26" s="231"/>
      <c r="D26" s="231"/>
      <c r="E26" s="231"/>
      <c r="F26" s="231"/>
      <c r="G26" s="231"/>
      <c r="H26" s="232" t="s">
        <v>74</v>
      </c>
      <c r="I26" s="231"/>
      <c r="J26" s="231"/>
      <c r="K26" s="231"/>
      <c r="L26" s="231"/>
      <c r="M26" s="231"/>
      <c r="N26" s="233"/>
      <c r="O26" s="234" t="s">
        <v>73</v>
      </c>
      <c r="P26" s="231"/>
      <c r="Q26" s="231"/>
      <c r="R26" s="231"/>
      <c r="S26" s="231"/>
      <c r="T26" s="231"/>
      <c r="U26" s="231"/>
      <c r="V26" s="232" t="s">
        <v>75</v>
      </c>
      <c r="W26" s="231"/>
      <c r="X26" s="231"/>
      <c r="Y26" s="231"/>
      <c r="Z26" s="231"/>
      <c r="AA26" s="231"/>
      <c r="AB26" s="231"/>
      <c r="AC26" s="233"/>
      <c r="AD26" s="234" t="s">
        <v>25</v>
      </c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6"/>
    </row>
    <row r="27" spans="1:43" ht="21.6" thickBot="1" x14ac:dyDescent="0.35">
      <c r="A27" s="239">
        <v>6</v>
      </c>
      <c r="B27" s="452" t="str">
        <f>VLOOKUP($A27,Wedstrijden!$A$6:$I$20,5,0)</f>
        <v>SVG Den Bosch</v>
      </c>
      <c r="C27" s="452"/>
      <c r="D27" s="452"/>
      <c r="E27" s="452"/>
      <c r="F27" s="452"/>
      <c r="G27" s="452"/>
      <c r="H27" s="452"/>
      <c r="I27" s="452"/>
      <c r="J27" s="452"/>
      <c r="K27" s="452"/>
      <c r="L27" s="452"/>
      <c r="M27" s="452"/>
      <c r="N27" s="452"/>
      <c r="O27" s="452"/>
      <c r="P27" s="452"/>
      <c r="Q27" s="452"/>
      <c r="R27" s="452"/>
      <c r="S27" s="452" t="str">
        <f>VLOOKUP($A27,Wedstrijden!$A$6:$I$20,9,0)</f>
        <v>Gesposs Geel</v>
      </c>
      <c r="T27" s="452"/>
      <c r="U27" s="452"/>
      <c r="V27" s="452"/>
      <c r="W27" s="452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M27" s="43"/>
      <c r="AQ27" s="223"/>
    </row>
    <row r="28" spans="1:43" ht="18.600000000000001" thickBot="1" x14ac:dyDescent="0.35">
      <c r="A28" s="173" t="s">
        <v>69</v>
      </c>
      <c r="B28" s="174"/>
      <c r="C28" s="174"/>
      <c r="D28" s="174"/>
      <c r="E28" s="174"/>
      <c r="F28" s="174"/>
      <c r="G28" s="174"/>
      <c r="H28" s="175" t="s">
        <v>16</v>
      </c>
      <c r="I28" s="174"/>
      <c r="J28" s="174"/>
      <c r="K28" s="174" t="s">
        <v>70</v>
      </c>
      <c r="L28" s="174"/>
      <c r="M28" s="174"/>
      <c r="N28" s="174"/>
      <c r="O28" s="174"/>
      <c r="P28" s="174"/>
      <c r="Q28" s="174"/>
      <c r="R28" s="174"/>
      <c r="S28" s="174"/>
      <c r="T28" s="174"/>
      <c r="U28" s="176" t="s">
        <v>123</v>
      </c>
      <c r="V28" s="174"/>
      <c r="W28" s="174"/>
      <c r="X28" s="174"/>
      <c r="Y28" s="174"/>
      <c r="Z28" s="174"/>
      <c r="AA28" s="174"/>
      <c r="AB28" s="174"/>
      <c r="AC28" s="224"/>
      <c r="AD28" s="173" t="s">
        <v>71</v>
      </c>
      <c r="AE28" s="174"/>
      <c r="AF28" s="174"/>
      <c r="AG28" s="174"/>
      <c r="AH28" s="174"/>
      <c r="AI28" s="174"/>
      <c r="AJ28" s="174"/>
      <c r="AK28" s="176" t="s">
        <v>124</v>
      </c>
      <c r="AL28" s="174"/>
      <c r="AM28" s="174"/>
      <c r="AN28" s="174"/>
      <c r="AO28" s="174"/>
      <c r="AP28" s="174"/>
      <c r="AQ28" s="224"/>
    </row>
    <row r="29" spans="1:43" x14ac:dyDescent="0.3">
      <c r="A29" s="225" t="s">
        <v>72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7"/>
      <c r="O29" s="228" t="s">
        <v>72</v>
      </c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7"/>
      <c r="AD29" s="228" t="s">
        <v>72</v>
      </c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9"/>
    </row>
    <row r="30" spans="1:43" x14ac:dyDescent="0.3">
      <c r="A30" s="222"/>
      <c r="N30" s="221"/>
      <c r="O30" s="50"/>
      <c r="AC30" s="221"/>
      <c r="AD30" s="50"/>
      <c r="AQ30" s="223"/>
    </row>
    <row r="31" spans="1:43" ht="14.4" thickBot="1" x14ac:dyDescent="0.3">
      <c r="A31" s="230" t="s">
        <v>73</v>
      </c>
      <c r="B31" s="231"/>
      <c r="C31" s="231"/>
      <c r="D31" s="231"/>
      <c r="E31" s="231"/>
      <c r="F31" s="231"/>
      <c r="G31" s="231"/>
      <c r="H31" s="232" t="s">
        <v>74</v>
      </c>
      <c r="I31" s="231"/>
      <c r="J31" s="231"/>
      <c r="K31" s="231"/>
      <c r="L31" s="231"/>
      <c r="M31" s="231"/>
      <c r="N31" s="233"/>
      <c r="O31" s="234" t="s">
        <v>73</v>
      </c>
      <c r="P31" s="231"/>
      <c r="Q31" s="231"/>
      <c r="R31" s="231"/>
      <c r="S31" s="231"/>
      <c r="T31" s="231"/>
      <c r="U31" s="231"/>
      <c r="V31" s="232" t="s">
        <v>75</v>
      </c>
      <c r="W31" s="231"/>
      <c r="X31" s="231"/>
      <c r="Y31" s="231"/>
      <c r="Z31" s="231"/>
      <c r="AA31" s="231"/>
      <c r="AB31" s="231"/>
      <c r="AC31" s="233"/>
      <c r="AD31" s="234" t="s">
        <v>25</v>
      </c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6"/>
    </row>
    <row r="32" spans="1:43" ht="21.6" thickBot="1" x14ac:dyDescent="0.35">
      <c r="A32" s="239">
        <v>7</v>
      </c>
      <c r="B32" s="452" t="str">
        <f>VLOOKUP($A32,Wedstrijden!$A$6:$I$20,5,0)</f>
        <v>VZ&amp;PC Nautilus 1</v>
      </c>
      <c r="C32" s="452"/>
      <c r="D32" s="452"/>
      <c r="E32" s="452"/>
      <c r="F32" s="452"/>
      <c r="G32" s="452"/>
      <c r="H32" s="452"/>
      <c r="I32" s="452"/>
      <c r="J32" s="452"/>
      <c r="K32" s="452"/>
      <c r="L32" s="452"/>
      <c r="M32" s="452"/>
      <c r="N32" s="452"/>
      <c r="O32" s="452"/>
      <c r="P32" s="452"/>
      <c r="Q32" s="452"/>
      <c r="R32" s="452"/>
      <c r="S32" s="452" t="str">
        <f>VLOOKUP($A32,Wedstrijden!$A$6:$I$20,9,0)</f>
        <v>Gesposs Blauw</v>
      </c>
      <c r="T32" s="452"/>
      <c r="U32" s="452"/>
      <c r="V32" s="452"/>
      <c r="W32" s="452"/>
      <c r="X32" s="452"/>
      <c r="Y32" s="452"/>
      <c r="Z32" s="452"/>
      <c r="AA32" s="452"/>
      <c r="AB32" s="452"/>
      <c r="AC32" s="452"/>
      <c r="AD32" s="452"/>
      <c r="AE32" s="452"/>
      <c r="AF32" s="452"/>
      <c r="AG32" s="452"/>
      <c r="AH32" s="452"/>
      <c r="AI32" s="452"/>
      <c r="AJ32" s="452"/>
      <c r="AM32" s="43"/>
      <c r="AQ32" s="223"/>
    </row>
    <row r="33" spans="1:43" ht="18.600000000000001" thickBot="1" x14ac:dyDescent="0.35">
      <c r="A33" s="173" t="s">
        <v>69</v>
      </c>
      <c r="B33" s="174"/>
      <c r="C33" s="174"/>
      <c r="D33" s="174"/>
      <c r="E33" s="174"/>
      <c r="F33" s="174"/>
      <c r="G33" s="174"/>
      <c r="H33" s="175" t="s">
        <v>16</v>
      </c>
      <c r="I33" s="174"/>
      <c r="J33" s="174"/>
      <c r="K33" s="174" t="s">
        <v>70</v>
      </c>
      <c r="L33" s="174"/>
      <c r="M33" s="174"/>
      <c r="N33" s="174"/>
      <c r="O33" s="174"/>
      <c r="P33" s="174"/>
      <c r="Q33" s="174"/>
      <c r="R33" s="174"/>
      <c r="S33" s="174"/>
      <c r="T33" s="174"/>
      <c r="U33" s="176" t="s">
        <v>123</v>
      </c>
      <c r="V33" s="174"/>
      <c r="W33" s="174"/>
      <c r="X33" s="174"/>
      <c r="Y33" s="174"/>
      <c r="Z33" s="174"/>
      <c r="AA33" s="174"/>
      <c r="AB33" s="174"/>
      <c r="AC33" s="224"/>
      <c r="AD33" s="173" t="s">
        <v>71</v>
      </c>
      <c r="AE33" s="174"/>
      <c r="AF33" s="174"/>
      <c r="AG33" s="174"/>
      <c r="AH33" s="174"/>
      <c r="AI33" s="174"/>
      <c r="AJ33" s="174"/>
      <c r="AK33" s="176" t="s">
        <v>124</v>
      </c>
      <c r="AL33" s="174"/>
      <c r="AM33" s="174"/>
      <c r="AN33" s="174"/>
      <c r="AO33" s="174"/>
      <c r="AP33" s="174"/>
      <c r="AQ33" s="224"/>
    </row>
    <row r="34" spans="1:43" x14ac:dyDescent="0.3">
      <c r="A34" s="225" t="s">
        <v>72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7"/>
      <c r="O34" s="228" t="s">
        <v>72</v>
      </c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7"/>
      <c r="AD34" s="228" t="s">
        <v>72</v>
      </c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9"/>
    </row>
    <row r="35" spans="1:43" x14ac:dyDescent="0.3">
      <c r="A35" s="222"/>
      <c r="N35" s="221"/>
      <c r="O35" s="50"/>
      <c r="AC35" s="221"/>
      <c r="AD35" s="50"/>
      <c r="AQ35" s="223"/>
    </row>
    <row r="36" spans="1:43" ht="14.4" thickBot="1" x14ac:dyDescent="0.3">
      <c r="A36" s="230" t="s">
        <v>73</v>
      </c>
      <c r="B36" s="231"/>
      <c r="C36" s="231"/>
      <c r="D36" s="231"/>
      <c r="E36" s="231"/>
      <c r="F36" s="231"/>
      <c r="G36" s="231"/>
      <c r="H36" s="232" t="s">
        <v>74</v>
      </c>
      <c r="I36" s="231"/>
      <c r="J36" s="231"/>
      <c r="K36" s="231"/>
      <c r="L36" s="231"/>
      <c r="M36" s="231"/>
      <c r="N36" s="233"/>
      <c r="O36" s="234" t="s">
        <v>73</v>
      </c>
      <c r="P36" s="231"/>
      <c r="Q36" s="231"/>
      <c r="R36" s="231"/>
      <c r="S36" s="231"/>
      <c r="T36" s="231"/>
      <c r="U36" s="231"/>
      <c r="V36" s="232" t="s">
        <v>75</v>
      </c>
      <c r="W36" s="231"/>
      <c r="X36" s="231"/>
      <c r="Y36" s="231"/>
      <c r="Z36" s="231"/>
      <c r="AA36" s="231"/>
      <c r="AB36" s="231"/>
      <c r="AC36" s="233"/>
      <c r="AD36" s="234" t="s">
        <v>25</v>
      </c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6"/>
    </row>
    <row r="37" spans="1:43" ht="21.6" thickBot="1" x14ac:dyDescent="0.35">
      <c r="A37" s="239">
        <v>8</v>
      </c>
      <c r="B37" s="452" t="str">
        <f>VLOOKUP($A37,Wedstrijden!$A$6:$I$20,5,0)</f>
        <v>De Tubanten 1</v>
      </c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 t="str">
        <f>VLOOKUP($A37,Wedstrijden!$A$6:$I$20,9,0)</f>
        <v>VZ&amp;PC Nautilus 2</v>
      </c>
      <c r="T37" s="452"/>
      <c r="U37" s="452"/>
      <c r="V37" s="452"/>
      <c r="W37" s="452"/>
      <c r="X37" s="452"/>
      <c r="Y37" s="452"/>
      <c r="Z37" s="452"/>
      <c r="AA37" s="452"/>
      <c r="AB37" s="452"/>
      <c r="AC37" s="452"/>
      <c r="AD37" s="452"/>
      <c r="AE37" s="452"/>
      <c r="AF37" s="452"/>
      <c r="AG37" s="452"/>
      <c r="AH37" s="452"/>
      <c r="AI37" s="452"/>
      <c r="AJ37" s="452"/>
      <c r="AM37" s="43"/>
      <c r="AQ37" s="223"/>
    </row>
    <row r="38" spans="1:43" ht="18.600000000000001" thickBot="1" x14ac:dyDescent="0.35">
      <c r="A38" s="173" t="s">
        <v>69</v>
      </c>
      <c r="B38" s="174"/>
      <c r="C38" s="174"/>
      <c r="D38" s="174"/>
      <c r="E38" s="174"/>
      <c r="F38" s="174"/>
      <c r="G38" s="174"/>
      <c r="H38" s="175" t="s">
        <v>16</v>
      </c>
      <c r="I38" s="174"/>
      <c r="J38" s="174"/>
      <c r="K38" s="174" t="s">
        <v>70</v>
      </c>
      <c r="L38" s="174"/>
      <c r="M38" s="174"/>
      <c r="N38" s="174"/>
      <c r="O38" s="174"/>
      <c r="P38" s="174"/>
      <c r="Q38" s="174"/>
      <c r="R38" s="174"/>
      <c r="S38" s="174"/>
      <c r="T38" s="174"/>
      <c r="U38" s="176" t="s">
        <v>123</v>
      </c>
      <c r="V38" s="174"/>
      <c r="W38" s="174"/>
      <c r="X38" s="174"/>
      <c r="Y38" s="174"/>
      <c r="Z38" s="174"/>
      <c r="AA38" s="174"/>
      <c r="AB38" s="174"/>
      <c r="AC38" s="224"/>
      <c r="AD38" s="173" t="s">
        <v>71</v>
      </c>
      <c r="AE38" s="174"/>
      <c r="AF38" s="174"/>
      <c r="AG38" s="174"/>
      <c r="AH38" s="174"/>
      <c r="AI38" s="174"/>
      <c r="AJ38" s="174"/>
      <c r="AK38" s="176" t="s">
        <v>124</v>
      </c>
      <c r="AL38" s="174"/>
      <c r="AM38" s="174"/>
      <c r="AN38" s="174"/>
      <c r="AO38" s="174"/>
      <c r="AP38" s="174"/>
      <c r="AQ38" s="224"/>
    </row>
    <row r="39" spans="1:43" x14ac:dyDescent="0.3">
      <c r="A39" s="225" t="s">
        <v>72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7"/>
      <c r="O39" s="228" t="s">
        <v>72</v>
      </c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7"/>
      <c r="AD39" s="228" t="s">
        <v>72</v>
      </c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9"/>
    </row>
    <row r="40" spans="1:43" x14ac:dyDescent="0.3">
      <c r="A40" s="222"/>
      <c r="N40" s="221"/>
      <c r="O40" s="50"/>
      <c r="AC40" s="221"/>
      <c r="AD40" s="50"/>
      <c r="AQ40" s="223"/>
    </row>
    <row r="41" spans="1:43" ht="14.4" thickBot="1" x14ac:dyDescent="0.3">
      <c r="A41" s="230" t="s">
        <v>73</v>
      </c>
      <c r="B41" s="231"/>
      <c r="C41" s="231"/>
      <c r="D41" s="231"/>
      <c r="E41" s="231"/>
      <c r="F41" s="231"/>
      <c r="G41" s="231"/>
      <c r="H41" s="232" t="s">
        <v>74</v>
      </c>
      <c r="I41" s="231"/>
      <c r="J41" s="231"/>
      <c r="K41" s="231"/>
      <c r="L41" s="231"/>
      <c r="M41" s="231"/>
      <c r="N41" s="233"/>
      <c r="O41" s="234" t="s">
        <v>73</v>
      </c>
      <c r="P41" s="231"/>
      <c r="Q41" s="231"/>
      <c r="R41" s="231"/>
      <c r="S41" s="231"/>
      <c r="T41" s="231"/>
      <c r="U41" s="231"/>
      <c r="V41" s="232" t="s">
        <v>75</v>
      </c>
      <c r="W41" s="231"/>
      <c r="X41" s="231"/>
      <c r="Y41" s="231"/>
      <c r="Z41" s="231"/>
      <c r="AA41" s="231"/>
      <c r="AB41" s="231"/>
      <c r="AC41" s="233"/>
      <c r="AD41" s="234" t="s">
        <v>25</v>
      </c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6"/>
    </row>
    <row r="42" spans="1:43" ht="21.6" thickBot="1" x14ac:dyDescent="0.35">
      <c r="A42" s="239">
        <v>9</v>
      </c>
      <c r="B42" s="452" t="str">
        <f>VLOOKUP($A42,Wedstrijden!$A$6:$I$20,5,0)</f>
        <v>RZ Roermond</v>
      </c>
      <c r="C42" s="452"/>
      <c r="D42" s="452"/>
      <c r="E42" s="452"/>
      <c r="F42" s="452"/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 t="str">
        <f>VLOOKUP($A42,Wedstrijden!$A$6:$I$20,9,0)</f>
        <v>De Tubanten 2</v>
      </c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M42" s="43"/>
      <c r="AQ42" s="223"/>
    </row>
    <row r="43" spans="1:43" ht="18.600000000000001" thickBot="1" x14ac:dyDescent="0.35">
      <c r="A43" s="173" t="s">
        <v>69</v>
      </c>
      <c r="B43" s="174"/>
      <c r="C43" s="174"/>
      <c r="D43" s="174"/>
      <c r="E43" s="174"/>
      <c r="F43" s="174"/>
      <c r="G43" s="174"/>
      <c r="H43" s="175" t="s">
        <v>16</v>
      </c>
      <c r="I43" s="174"/>
      <c r="J43" s="174"/>
      <c r="K43" s="174" t="s">
        <v>70</v>
      </c>
      <c r="L43" s="174"/>
      <c r="M43" s="174"/>
      <c r="N43" s="174"/>
      <c r="O43" s="174"/>
      <c r="P43" s="174"/>
      <c r="Q43" s="174"/>
      <c r="R43" s="174"/>
      <c r="S43" s="174"/>
      <c r="T43" s="174"/>
      <c r="U43" s="176" t="s">
        <v>123</v>
      </c>
      <c r="V43" s="174"/>
      <c r="W43" s="174"/>
      <c r="X43" s="174"/>
      <c r="Y43" s="174"/>
      <c r="Z43" s="174"/>
      <c r="AA43" s="174"/>
      <c r="AB43" s="174"/>
      <c r="AC43" s="224"/>
      <c r="AD43" s="173" t="s">
        <v>71</v>
      </c>
      <c r="AE43" s="174"/>
      <c r="AF43" s="174"/>
      <c r="AG43" s="174"/>
      <c r="AH43" s="174"/>
      <c r="AI43" s="174"/>
      <c r="AJ43" s="174"/>
      <c r="AK43" s="176" t="s">
        <v>124</v>
      </c>
      <c r="AL43" s="174"/>
      <c r="AM43" s="174"/>
      <c r="AN43" s="174"/>
      <c r="AO43" s="174"/>
      <c r="AP43" s="174"/>
      <c r="AQ43" s="224"/>
    </row>
    <row r="44" spans="1:43" x14ac:dyDescent="0.3">
      <c r="A44" s="225" t="s">
        <v>72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7"/>
      <c r="O44" s="228" t="s">
        <v>72</v>
      </c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7"/>
      <c r="AD44" s="228" t="s">
        <v>72</v>
      </c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9"/>
    </row>
    <row r="45" spans="1:43" x14ac:dyDescent="0.3">
      <c r="A45" s="222"/>
      <c r="N45" s="221"/>
      <c r="O45" s="50"/>
      <c r="AC45" s="221"/>
      <c r="AD45" s="50"/>
      <c r="AQ45" s="223"/>
    </row>
    <row r="46" spans="1:43" ht="14.4" thickBot="1" x14ac:dyDescent="0.3">
      <c r="A46" s="230" t="s">
        <v>73</v>
      </c>
      <c r="B46" s="231"/>
      <c r="C46" s="231"/>
      <c r="D46" s="231"/>
      <c r="E46" s="231"/>
      <c r="F46" s="231"/>
      <c r="G46" s="231"/>
      <c r="H46" s="232" t="s">
        <v>74</v>
      </c>
      <c r="I46" s="231"/>
      <c r="J46" s="231"/>
      <c r="K46" s="231"/>
      <c r="L46" s="231"/>
      <c r="M46" s="231"/>
      <c r="N46" s="233"/>
      <c r="O46" s="234" t="s">
        <v>73</v>
      </c>
      <c r="P46" s="231"/>
      <c r="Q46" s="231"/>
      <c r="R46" s="231"/>
      <c r="S46" s="231"/>
      <c r="T46" s="231"/>
      <c r="U46" s="231"/>
      <c r="V46" s="232" t="s">
        <v>75</v>
      </c>
      <c r="W46" s="231"/>
      <c r="X46" s="231"/>
      <c r="Y46" s="231"/>
      <c r="Z46" s="231"/>
      <c r="AA46" s="231"/>
      <c r="AB46" s="231"/>
      <c r="AC46" s="233"/>
      <c r="AD46" s="234" t="s">
        <v>25</v>
      </c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6"/>
    </row>
    <row r="47" spans="1:43" ht="21.6" thickBot="1" x14ac:dyDescent="0.35">
      <c r="A47" s="239">
        <v>10</v>
      </c>
      <c r="B47" s="452" t="str">
        <f>VLOOKUP($A47,Wedstrijden!$A$6:$I$20,5,0)</f>
        <v>Aqua Novio</v>
      </c>
      <c r="C47" s="452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  <c r="P47" s="452"/>
      <c r="Q47" s="452"/>
      <c r="R47" s="452"/>
      <c r="S47" s="452" t="str">
        <f>VLOOKUP($A47,Wedstrijden!$A$6:$I$20,9,0)</f>
        <v>Gesposs Blauw</v>
      </c>
      <c r="T47" s="452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2"/>
      <c r="AI47" s="452"/>
      <c r="AJ47" s="452"/>
      <c r="AM47" s="43"/>
      <c r="AQ47" s="223"/>
    </row>
    <row r="48" spans="1:43" ht="18.600000000000001" thickBot="1" x14ac:dyDescent="0.35">
      <c r="A48" s="173" t="s">
        <v>69</v>
      </c>
      <c r="B48" s="174"/>
      <c r="C48" s="174"/>
      <c r="D48" s="174"/>
      <c r="E48" s="174"/>
      <c r="F48" s="174"/>
      <c r="G48" s="174"/>
      <c r="H48" s="175" t="s">
        <v>16</v>
      </c>
      <c r="I48" s="174"/>
      <c r="J48" s="174"/>
      <c r="K48" s="174" t="s">
        <v>70</v>
      </c>
      <c r="L48" s="174"/>
      <c r="M48" s="174"/>
      <c r="N48" s="174"/>
      <c r="O48" s="174"/>
      <c r="P48" s="174"/>
      <c r="Q48" s="174"/>
      <c r="R48" s="174"/>
      <c r="S48" s="174"/>
      <c r="T48" s="174"/>
      <c r="U48" s="176" t="s">
        <v>123</v>
      </c>
      <c r="V48" s="174"/>
      <c r="W48" s="174"/>
      <c r="X48" s="174"/>
      <c r="Y48" s="174"/>
      <c r="Z48" s="174"/>
      <c r="AA48" s="174"/>
      <c r="AB48" s="174"/>
      <c r="AC48" s="224"/>
      <c r="AD48" s="173" t="s">
        <v>71</v>
      </c>
      <c r="AE48" s="174"/>
      <c r="AF48" s="174"/>
      <c r="AG48" s="174"/>
      <c r="AH48" s="174"/>
      <c r="AI48" s="174"/>
      <c r="AJ48" s="174"/>
      <c r="AK48" s="176" t="s">
        <v>124</v>
      </c>
      <c r="AL48" s="174"/>
      <c r="AM48" s="174"/>
      <c r="AN48" s="174"/>
      <c r="AO48" s="174"/>
      <c r="AP48" s="174"/>
      <c r="AQ48" s="224"/>
    </row>
    <row r="49" spans="1:43" x14ac:dyDescent="0.3">
      <c r="A49" s="225" t="s">
        <v>72</v>
      </c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7"/>
      <c r="O49" s="228" t="s">
        <v>72</v>
      </c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7"/>
      <c r="AD49" s="228" t="s">
        <v>72</v>
      </c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9"/>
    </row>
    <row r="50" spans="1:43" x14ac:dyDescent="0.3">
      <c r="A50" s="222"/>
      <c r="N50" s="221"/>
      <c r="O50" s="50"/>
      <c r="AC50" s="221"/>
      <c r="AD50" s="50"/>
      <c r="AQ50" s="223"/>
    </row>
    <row r="51" spans="1:43" ht="14.4" thickBot="1" x14ac:dyDescent="0.3">
      <c r="A51" s="230" t="s">
        <v>73</v>
      </c>
      <c r="B51" s="231"/>
      <c r="C51" s="231"/>
      <c r="D51" s="231"/>
      <c r="E51" s="231"/>
      <c r="F51" s="231"/>
      <c r="G51" s="231"/>
      <c r="H51" s="232" t="s">
        <v>74</v>
      </c>
      <c r="I51" s="231"/>
      <c r="J51" s="231"/>
      <c r="K51" s="231"/>
      <c r="L51" s="231"/>
      <c r="M51" s="231"/>
      <c r="N51" s="233"/>
      <c r="O51" s="234" t="s">
        <v>73</v>
      </c>
      <c r="P51" s="231"/>
      <c r="Q51" s="231"/>
      <c r="R51" s="231"/>
      <c r="S51" s="231"/>
      <c r="T51" s="231"/>
      <c r="U51" s="231"/>
      <c r="V51" s="232" t="s">
        <v>75</v>
      </c>
      <c r="W51" s="231"/>
      <c r="X51" s="231"/>
      <c r="Y51" s="231"/>
      <c r="Z51" s="231"/>
      <c r="AA51" s="231"/>
      <c r="AB51" s="231"/>
      <c r="AC51" s="233"/>
      <c r="AD51" s="234" t="s">
        <v>25</v>
      </c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6"/>
    </row>
    <row r="52" spans="1:43" ht="14.4" thickBot="1" x14ac:dyDescent="0.3">
      <c r="A52" s="240"/>
      <c r="B52" s="241"/>
      <c r="C52" s="241"/>
      <c r="D52" s="241"/>
      <c r="E52" s="241"/>
      <c r="F52" s="241"/>
      <c r="G52" s="241"/>
      <c r="H52" s="240"/>
      <c r="I52" s="241"/>
      <c r="J52" s="241"/>
      <c r="K52" s="241"/>
      <c r="L52" s="241"/>
      <c r="M52" s="241"/>
      <c r="N52" s="241"/>
      <c r="O52" s="240"/>
      <c r="P52" s="241"/>
      <c r="Q52" s="241"/>
      <c r="R52" s="241"/>
      <c r="S52" s="241"/>
      <c r="T52" s="241"/>
      <c r="U52" s="241"/>
      <c r="V52" s="240"/>
      <c r="W52" s="241"/>
      <c r="X52" s="241"/>
      <c r="Y52" s="241"/>
      <c r="Z52" s="241"/>
      <c r="AA52" s="241"/>
      <c r="AB52" s="241"/>
      <c r="AC52" s="241"/>
      <c r="AD52" s="240"/>
    </row>
    <row r="53" spans="1:43" ht="21.6" thickBot="1" x14ac:dyDescent="0.35">
      <c r="A53" s="237">
        <v>11</v>
      </c>
      <c r="B53" s="453" t="str">
        <f>VLOOKUP($A53,Wedstrijden!$A$6:$I$20,5,0)</f>
        <v>Gesposs Geel</v>
      </c>
      <c r="C53" s="453"/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53"/>
      <c r="O53" s="453"/>
      <c r="P53" s="453"/>
      <c r="Q53" s="453"/>
      <c r="R53" s="453"/>
      <c r="S53" s="453" t="str">
        <f>VLOOKUP($A53,Wedstrijden!$A$6:$I$20,9,0)</f>
        <v>VZ&amp;PC Nautilus 1</v>
      </c>
      <c r="T53" s="453"/>
      <c r="U53" s="453"/>
      <c r="V53" s="453"/>
      <c r="W53" s="453"/>
      <c r="X53" s="453"/>
      <c r="Y53" s="453"/>
      <c r="Z53" s="453"/>
      <c r="AA53" s="453"/>
      <c r="AB53" s="453"/>
      <c r="AC53" s="453"/>
      <c r="AD53" s="453"/>
      <c r="AE53" s="453"/>
      <c r="AF53" s="453"/>
      <c r="AG53" s="453"/>
      <c r="AH53" s="453"/>
      <c r="AI53" s="453"/>
      <c r="AJ53" s="453"/>
      <c r="AK53" s="226"/>
      <c r="AL53" s="226"/>
      <c r="AM53" s="238"/>
      <c r="AN53" s="226"/>
      <c r="AO53" s="226"/>
      <c r="AP53" s="226"/>
      <c r="AQ53" s="229"/>
    </row>
    <row r="54" spans="1:43" ht="18.600000000000001" thickBot="1" x14ac:dyDescent="0.35">
      <c r="A54" s="173" t="s">
        <v>69</v>
      </c>
      <c r="B54" s="174"/>
      <c r="C54" s="174"/>
      <c r="D54" s="174"/>
      <c r="E54" s="174"/>
      <c r="F54" s="174"/>
      <c r="G54" s="174"/>
      <c r="H54" s="175" t="s">
        <v>16</v>
      </c>
      <c r="I54" s="174"/>
      <c r="J54" s="174"/>
      <c r="K54" s="174" t="s">
        <v>70</v>
      </c>
      <c r="L54" s="174"/>
      <c r="M54" s="174"/>
      <c r="N54" s="174"/>
      <c r="O54" s="174"/>
      <c r="P54" s="174"/>
      <c r="Q54" s="174"/>
      <c r="R54" s="174"/>
      <c r="S54" s="174"/>
      <c r="T54" s="174"/>
      <c r="U54" s="176" t="s">
        <v>123</v>
      </c>
      <c r="V54" s="174"/>
      <c r="W54" s="174"/>
      <c r="X54" s="174"/>
      <c r="Y54" s="174"/>
      <c r="Z54" s="174"/>
      <c r="AA54" s="174"/>
      <c r="AB54" s="174"/>
      <c r="AC54" s="224"/>
      <c r="AD54" s="173" t="s">
        <v>71</v>
      </c>
      <c r="AE54" s="174"/>
      <c r="AF54" s="174"/>
      <c r="AG54" s="174"/>
      <c r="AH54" s="174"/>
      <c r="AI54" s="174"/>
      <c r="AJ54" s="174"/>
      <c r="AK54" s="176" t="s">
        <v>124</v>
      </c>
      <c r="AL54" s="174"/>
      <c r="AM54" s="174"/>
      <c r="AN54" s="174"/>
      <c r="AO54" s="174"/>
      <c r="AP54" s="174"/>
      <c r="AQ54" s="224"/>
    </row>
    <row r="55" spans="1:43" x14ac:dyDescent="0.3">
      <c r="A55" s="225" t="s">
        <v>72</v>
      </c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7"/>
      <c r="O55" s="228" t="s">
        <v>72</v>
      </c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7"/>
      <c r="AD55" s="228" t="s">
        <v>72</v>
      </c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9"/>
    </row>
    <row r="56" spans="1:43" x14ac:dyDescent="0.3">
      <c r="A56" s="222"/>
      <c r="N56" s="221"/>
      <c r="O56" s="50"/>
      <c r="AC56" s="221"/>
      <c r="AD56" s="50"/>
      <c r="AQ56" s="223"/>
    </row>
    <row r="57" spans="1:43" ht="14.4" thickBot="1" x14ac:dyDescent="0.3">
      <c r="A57" s="230" t="s">
        <v>73</v>
      </c>
      <c r="B57" s="231"/>
      <c r="C57" s="231"/>
      <c r="D57" s="231"/>
      <c r="E57" s="231"/>
      <c r="F57" s="231"/>
      <c r="G57" s="231"/>
      <c r="H57" s="232" t="s">
        <v>74</v>
      </c>
      <c r="I57" s="231"/>
      <c r="J57" s="231"/>
      <c r="K57" s="231"/>
      <c r="L57" s="231"/>
      <c r="M57" s="231"/>
      <c r="N57" s="233"/>
      <c r="O57" s="234" t="s">
        <v>73</v>
      </c>
      <c r="P57" s="231"/>
      <c r="Q57" s="231"/>
      <c r="R57" s="231"/>
      <c r="S57" s="231"/>
      <c r="T57" s="231"/>
      <c r="U57" s="231"/>
      <c r="V57" s="232" t="s">
        <v>75</v>
      </c>
      <c r="W57" s="231"/>
      <c r="X57" s="231"/>
      <c r="Y57" s="231"/>
      <c r="Z57" s="231"/>
      <c r="AA57" s="231"/>
      <c r="AB57" s="231"/>
      <c r="AC57" s="233"/>
      <c r="AD57" s="234" t="s">
        <v>25</v>
      </c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6"/>
    </row>
    <row r="58" spans="1:43" ht="21.6" thickBot="1" x14ac:dyDescent="0.35">
      <c r="A58" s="239">
        <v>12</v>
      </c>
      <c r="B58" s="452" t="str">
        <f>VLOOKUP($A58,Wedstrijden!$A$6:$I$20,5,0)</f>
        <v>SVG Den Bosch</v>
      </c>
      <c r="C58" s="452"/>
      <c r="D58" s="452"/>
      <c r="E58" s="452"/>
      <c r="F58" s="452"/>
      <c r="G58" s="452"/>
      <c r="H58" s="452"/>
      <c r="I58" s="452"/>
      <c r="J58" s="452"/>
      <c r="K58" s="452"/>
      <c r="L58" s="452"/>
      <c r="M58" s="452"/>
      <c r="N58" s="452"/>
      <c r="O58" s="452"/>
      <c r="P58" s="452"/>
      <c r="Q58" s="452"/>
      <c r="R58" s="452"/>
      <c r="S58" s="452" t="str">
        <f>VLOOKUP($A58,Wedstrijden!$A$6:$I$20,9,0)</f>
        <v>VZ&amp;PC Nautilus 2</v>
      </c>
      <c r="T58" s="452"/>
      <c r="U58" s="452"/>
      <c r="V58" s="452"/>
      <c r="W58" s="452"/>
      <c r="X58" s="452"/>
      <c r="Y58" s="452"/>
      <c r="Z58" s="452"/>
      <c r="AA58" s="452"/>
      <c r="AB58" s="452"/>
      <c r="AC58" s="452"/>
      <c r="AD58" s="452"/>
      <c r="AE58" s="452"/>
      <c r="AF58" s="452"/>
      <c r="AG58" s="452"/>
      <c r="AH58" s="452"/>
      <c r="AI58" s="452"/>
      <c r="AJ58" s="452"/>
      <c r="AM58" s="43"/>
      <c r="AQ58" s="223"/>
    </row>
    <row r="59" spans="1:43" ht="18.600000000000001" thickBot="1" x14ac:dyDescent="0.35">
      <c r="A59" s="173" t="s">
        <v>69</v>
      </c>
      <c r="B59" s="174"/>
      <c r="C59" s="174"/>
      <c r="D59" s="174"/>
      <c r="E59" s="174"/>
      <c r="F59" s="174"/>
      <c r="G59" s="174"/>
      <c r="H59" s="175" t="s">
        <v>16</v>
      </c>
      <c r="I59" s="174"/>
      <c r="J59" s="174"/>
      <c r="K59" s="174" t="s">
        <v>70</v>
      </c>
      <c r="L59" s="174"/>
      <c r="M59" s="174"/>
      <c r="N59" s="174"/>
      <c r="O59" s="174"/>
      <c r="P59" s="174"/>
      <c r="Q59" s="174"/>
      <c r="R59" s="174"/>
      <c r="S59" s="174"/>
      <c r="T59" s="174"/>
      <c r="U59" s="176" t="s">
        <v>123</v>
      </c>
      <c r="V59" s="174"/>
      <c r="W59" s="174"/>
      <c r="X59" s="174"/>
      <c r="Y59" s="174"/>
      <c r="Z59" s="174"/>
      <c r="AA59" s="174"/>
      <c r="AB59" s="174"/>
      <c r="AC59" s="224"/>
      <c r="AD59" s="173" t="s">
        <v>71</v>
      </c>
      <c r="AE59" s="174"/>
      <c r="AF59" s="174"/>
      <c r="AG59" s="174"/>
      <c r="AH59" s="174"/>
      <c r="AI59" s="174"/>
      <c r="AJ59" s="174"/>
      <c r="AK59" s="176" t="s">
        <v>124</v>
      </c>
      <c r="AL59" s="174"/>
      <c r="AM59" s="174"/>
      <c r="AN59" s="174"/>
      <c r="AO59" s="174"/>
      <c r="AP59" s="174"/>
      <c r="AQ59" s="224"/>
    </row>
    <row r="60" spans="1:43" x14ac:dyDescent="0.3">
      <c r="A60" s="225" t="s">
        <v>72</v>
      </c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7"/>
      <c r="O60" s="228" t="s">
        <v>72</v>
      </c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7"/>
      <c r="AD60" s="228" t="s">
        <v>72</v>
      </c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9"/>
    </row>
    <row r="61" spans="1:43" x14ac:dyDescent="0.3">
      <c r="A61" s="222"/>
      <c r="N61" s="221"/>
      <c r="O61" s="50"/>
      <c r="AC61" s="221"/>
      <c r="AD61" s="50"/>
      <c r="AQ61" s="223"/>
    </row>
    <row r="62" spans="1:43" ht="14.4" thickBot="1" x14ac:dyDescent="0.3">
      <c r="A62" s="230" t="s">
        <v>73</v>
      </c>
      <c r="B62" s="231"/>
      <c r="C62" s="231"/>
      <c r="D62" s="231"/>
      <c r="E62" s="231"/>
      <c r="F62" s="231"/>
      <c r="G62" s="231"/>
      <c r="H62" s="232" t="s">
        <v>74</v>
      </c>
      <c r="I62" s="231"/>
      <c r="J62" s="231"/>
      <c r="K62" s="231"/>
      <c r="L62" s="231"/>
      <c r="M62" s="231"/>
      <c r="N62" s="233"/>
      <c r="O62" s="234" t="s">
        <v>73</v>
      </c>
      <c r="P62" s="231"/>
      <c r="Q62" s="231"/>
      <c r="R62" s="231"/>
      <c r="S62" s="231"/>
      <c r="T62" s="231"/>
      <c r="U62" s="231"/>
      <c r="V62" s="232" t="s">
        <v>75</v>
      </c>
      <c r="W62" s="231"/>
      <c r="X62" s="231"/>
      <c r="Y62" s="231"/>
      <c r="Z62" s="231"/>
      <c r="AA62" s="231"/>
      <c r="AB62" s="231"/>
      <c r="AC62" s="233"/>
      <c r="AD62" s="234" t="s">
        <v>25</v>
      </c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6"/>
    </row>
    <row r="63" spans="1:43" ht="21.6" thickBot="1" x14ac:dyDescent="0.35">
      <c r="A63" s="239">
        <v>13</v>
      </c>
      <c r="B63" s="452" t="str">
        <f>VLOOKUP($A63,Wedstrijden!$A$6:$I$20,5,0)</f>
        <v>De Tubanten 1</v>
      </c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  <c r="R63" s="452"/>
      <c r="S63" s="452" t="str">
        <f>VLOOKUP($A63,Wedstrijden!$A$6:$I$20,9,0)</f>
        <v>RZ Roermond</v>
      </c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M63" s="43"/>
      <c r="AQ63" s="223"/>
    </row>
    <row r="64" spans="1:43" ht="18.600000000000001" thickBot="1" x14ac:dyDescent="0.35">
      <c r="A64" s="173" t="s">
        <v>69</v>
      </c>
      <c r="B64" s="174"/>
      <c r="C64" s="174"/>
      <c r="D64" s="174"/>
      <c r="E64" s="174"/>
      <c r="F64" s="174"/>
      <c r="G64" s="174"/>
      <c r="H64" s="175" t="s">
        <v>16</v>
      </c>
      <c r="I64" s="174"/>
      <c r="J64" s="174"/>
      <c r="K64" s="174" t="s">
        <v>70</v>
      </c>
      <c r="L64" s="174"/>
      <c r="M64" s="174"/>
      <c r="N64" s="174"/>
      <c r="O64" s="174"/>
      <c r="P64" s="174"/>
      <c r="Q64" s="174"/>
      <c r="R64" s="174"/>
      <c r="S64" s="174"/>
      <c r="T64" s="174"/>
      <c r="U64" s="176" t="s">
        <v>123</v>
      </c>
      <c r="V64" s="174"/>
      <c r="W64" s="174"/>
      <c r="X64" s="174"/>
      <c r="Y64" s="174"/>
      <c r="Z64" s="174"/>
      <c r="AA64" s="174"/>
      <c r="AB64" s="174"/>
      <c r="AC64" s="224"/>
      <c r="AD64" s="173" t="s">
        <v>71</v>
      </c>
      <c r="AE64" s="174"/>
      <c r="AF64" s="174"/>
      <c r="AG64" s="174"/>
      <c r="AH64" s="174"/>
      <c r="AI64" s="174"/>
      <c r="AJ64" s="174"/>
      <c r="AK64" s="176" t="s">
        <v>124</v>
      </c>
      <c r="AL64" s="174"/>
      <c r="AM64" s="174"/>
      <c r="AN64" s="174"/>
      <c r="AO64" s="174"/>
      <c r="AP64" s="174"/>
      <c r="AQ64" s="224"/>
    </row>
    <row r="65" spans="1:43" x14ac:dyDescent="0.3">
      <c r="A65" s="225" t="s">
        <v>72</v>
      </c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7"/>
      <c r="O65" s="228" t="s">
        <v>72</v>
      </c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7"/>
      <c r="AD65" s="228" t="s">
        <v>72</v>
      </c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9"/>
    </row>
    <row r="66" spans="1:43" x14ac:dyDescent="0.3">
      <c r="A66" s="222"/>
      <c r="N66" s="221"/>
      <c r="O66" s="50"/>
      <c r="AC66" s="221"/>
      <c r="AD66" s="50"/>
      <c r="AQ66" s="223"/>
    </row>
    <row r="67" spans="1:43" ht="14.4" thickBot="1" x14ac:dyDescent="0.3">
      <c r="A67" s="230" t="s">
        <v>73</v>
      </c>
      <c r="B67" s="231"/>
      <c r="C67" s="231"/>
      <c r="D67" s="231"/>
      <c r="E67" s="231"/>
      <c r="F67" s="231"/>
      <c r="G67" s="231"/>
      <c r="H67" s="232" t="s">
        <v>74</v>
      </c>
      <c r="I67" s="231"/>
      <c r="J67" s="231"/>
      <c r="K67" s="231"/>
      <c r="L67" s="231"/>
      <c r="M67" s="231"/>
      <c r="N67" s="233"/>
      <c r="O67" s="234" t="s">
        <v>73</v>
      </c>
      <c r="P67" s="231"/>
      <c r="Q67" s="231"/>
      <c r="R67" s="231"/>
      <c r="S67" s="231"/>
      <c r="T67" s="231"/>
      <c r="U67" s="231"/>
      <c r="V67" s="232" t="s">
        <v>75</v>
      </c>
      <c r="W67" s="231"/>
      <c r="X67" s="231"/>
      <c r="Y67" s="231"/>
      <c r="Z67" s="231"/>
      <c r="AA67" s="231"/>
      <c r="AB67" s="231"/>
      <c r="AC67" s="233"/>
      <c r="AD67" s="234" t="s">
        <v>25</v>
      </c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6"/>
    </row>
    <row r="68" spans="1:43" ht="21.6" thickBot="1" x14ac:dyDescent="0.35">
      <c r="A68" s="239">
        <v>14</v>
      </c>
      <c r="B68" s="452" t="str">
        <f>VLOOKUP($A68,Wedstrijden!$A$6:$I$20,5,0)</f>
        <v>De Tubanten 2</v>
      </c>
      <c r="C68" s="452"/>
      <c r="D68" s="452"/>
      <c r="E68" s="452"/>
      <c r="F68" s="452"/>
      <c r="G68" s="452"/>
      <c r="H68" s="452"/>
      <c r="I68" s="452"/>
      <c r="J68" s="452"/>
      <c r="K68" s="452"/>
      <c r="L68" s="452"/>
      <c r="M68" s="452"/>
      <c r="N68" s="452"/>
      <c r="O68" s="452"/>
      <c r="P68" s="452"/>
      <c r="Q68" s="452"/>
      <c r="R68" s="452"/>
      <c r="S68" s="452" t="str">
        <f>VLOOKUP($A68,Wedstrijden!$A$6:$I$20,9,0)</f>
        <v>Gesposs Blauw</v>
      </c>
      <c r="T68" s="452"/>
      <c r="U68" s="452"/>
      <c r="V68" s="452"/>
      <c r="W68" s="452"/>
      <c r="X68" s="452"/>
      <c r="Y68" s="452"/>
      <c r="Z68" s="452"/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  <c r="AM68" s="43"/>
      <c r="AQ68" s="223"/>
    </row>
    <row r="69" spans="1:43" ht="18.600000000000001" thickBot="1" x14ac:dyDescent="0.35">
      <c r="A69" s="173" t="s">
        <v>69</v>
      </c>
      <c r="B69" s="174"/>
      <c r="C69" s="174"/>
      <c r="D69" s="174"/>
      <c r="E69" s="174"/>
      <c r="F69" s="174"/>
      <c r="G69" s="174"/>
      <c r="H69" s="175" t="s">
        <v>16</v>
      </c>
      <c r="I69" s="174"/>
      <c r="J69" s="174"/>
      <c r="K69" s="174" t="s">
        <v>70</v>
      </c>
      <c r="L69" s="174"/>
      <c r="M69" s="174"/>
      <c r="N69" s="174"/>
      <c r="O69" s="174"/>
      <c r="P69" s="174"/>
      <c r="Q69" s="174"/>
      <c r="R69" s="174"/>
      <c r="S69" s="174"/>
      <c r="T69" s="174"/>
      <c r="U69" s="176" t="s">
        <v>123</v>
      </c>
      <c r="V69" s="174"/>
      <c r="W69" s="174"/>
      <c r="X69" s="174"/>
      <c r="Y69" s="174"/>
      <c r="Z69" s="174"/>
      <c r="AA69" s="174"/>
      <c r="AB69" s="174"/>
      <c r="AC69" s="224"/>
      <c r="AD69" s="173" t="s">
        <v>71</v>
      </c>
      <c r="AE69" s="174"/>
      <c r="AF69" s="174"/>
      <c r="AG69" s="174"/>
      <c r="AH69" s="174"/>
      <c r="AI69" s="174"/>
      <c r="AJ69" s="174"/>
      <c r="AK69" s="176" t="s">
        <v>124</v>
      </c>
      <c r="AL69" s="174"/>
      <c r="AM69" s="174"/>
      <c r="AN69" s="174"/>
      <c r="AO69" s="174"/>
      <c r="AP69" s="174"/>
      <c r="AQ69" s="224"/>
    </row>
    <row r="70" spans="1:43" x14ac:dyDescent="0.3">
      <c r="A70" s="225" t="s">
        <v>72</v>
      </c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7"/>
      <c r="O70" s="228" t="s">
        <v>72</v>
      </c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7"/>
      <c r="AD70" s="228" t="s">
        <v>72</v>
      </c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9"/>
    </row>
    <row r="71" spans="1:43" x14ac:dyDescent="0.3">
      <c r="A71" s="222"/>
      <c r="N71" s="221"/>
      <c r="O71" s="50"/>
      <c r="AC71" s="221"/>
      <c r="AD71" s="50"/>
      <c r="AQ71" s="223"/>
    </row>
    <row r="72" spans="1:43" ht="14.4" thickBot="1" x14ac:dyDescent="0.3">
      <c r="A72" s="230" t="s">
        <v>73</v>
      </c>
      <c r="B72" s="231"/>
      <c r="C72" s="231"/>
      <c r="D72" s="231"/>
      <c r="E72" s="231"/>
      <c r="F72" s="231"/>
      <c r="G72" s="231"/>
      <c r="H72" s="232" t="s">
        <v>74</v>
      </c>
      <c r="I72" s="231"/>
      <c r="J72" s="231"/>
      <c r="K72" s="231"/>
      <c r="L72" s="231"/>
      <c r="M72" s="231"/>
      <c r="N72" s="233"/>
      <c r="O72" s="234" t="s">
        <v>73</v>
      </c>
      <c r="P72" s="231"/>
      <c r="Q72" s="231"/>
      <c r="R72" s="231"/>
      <c r="S72" s="231"/>
      <c r="T72" s="231"/>
      <c r="U72" s="231"/>
      <c r="V72" s="232" t="s">
        <v>75</v>
      </c>
      <c r="W72" s="231"/>
      <c r="X72" s="231"/>
      <c r="Y72" s="231"/>
      <c r="Z72" s="231"/>
      <c r="AA72" s="231"/>
      <c r="AB72" s="231"/>
      <c r="AC72" s="233"/>
      <c r="AD72" s="234" t="s">
        <v>25</v>
      </c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5"/>
      <c r="AP72" s="235"/>
      <c r="AQ72" s="236"/>
    </row>
    <row r="73" spans="1:43" ht="21.6" thickBot="1" x14ac:dyDescent="0.35">
      <c r="A73" s="239">
        <v>15</v>
      </c>
      <c r="B73" s="452" t="str">
        <f>VLOOKUP($A73,Wedstrijden!$A$6:$I$20,5,0)</f>
        <v>Aqua Novio</v>
      </c>
      <c r="C73" s="452"/>
      <c r="D73" s="452"/>
      <c r="E73" s="452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 t="str">
        <f>VLOOKUP($A73,Wedstrijden!$A$6:$I$20,9,0)</f>
        <v>Gesposs Geel</v>
      </c>
      <c r="T73" s="452"/>
      <c r="U73" s="452"/>
      <c r="V73" s="452"/>
      <c r="W73" s="452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  <c r="AM73" s="43"/>
      <c r="AQ73" s="223"/>
    </row>
    <row r="74" spans="1:43" ht="18.600000000000001" thickBot="1" x14ac:dyDescent="0.35">
      <c r="A74" s="173" t="s">
        <v>69</v>
      </c>
      <c r="B74" s="174"/>
      <c r="C74" s="174"/>
      <c r="D74" s="174"/>
      <c r="E74" s="174"/>
      <c r="F74" s="174"/>
      <c r="G74" s="174"/>
      <c r="H74" s="175" t="s">
        <v>16</v>
      </c>
      <c r="I74" s="174"/>
      <c r="J74" s="174"/>
      <c r="K74" s="174" t="s">
        <v>70</v>
      </c>
      <c r="L74" s="174"/>
      <c r="M74" s="174"/>
      <c r="N74" s="174"/>
      <c r="O74" s="174"/>
      <c r="P74" s="174"/>
      <c r="Q74" s="174"/>
      <c r="R74" s="174"/>
      <c r="S74" s="174"/>
      <c r="T74" s="174"/>
      <c r="U74" s="176" t="s">
        <v>123</v>
      </c>
      <c r="V74" s="174"/>
      <c r="W74" s="174"/>
      <c r="X74" s="174"/>
      <c r="Y74" s="174"/>
      <c r="Z74" s="174"/>
      <c r="AA74" s="174"/>
      <c r="AB74" s="174"/>
      <c r="AC74" s="224"/>
      <c r="AD74" s="173" t="s">
        <v>71</v>
      </c>
      <c r="AE74" s="174"/>
      <c r="AF74" s="174"/>
      <c r="AG74" s="174"/>
      <c r="AH74" s="174"/>
      <c r="AI74" s="174"/>
      <c r="AJ74" s="174"/>
      <c r="AK74" s="176" t="s">
        <v>124</v>
      </c>
      <c r="AL74" s="174"/>
      <c r="AM74" s="174"/>
      <c r="AN74" s="174"/>
      <c r="AO74" s="174"/>
      <c r="AP74" s="174"/>
      <c r="AQ74" s="224"/>
    </row>
    <row r="75" spans="1:43" x14ac:dyDescent="0.3">
      <c r="A75" s="225" t="s">
        <v>72</v>
      </c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7"/>
      <c r="O75" s="228" t="s">
        <v>72</v>
      </c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7"/>
      <c r="AD75" s="228" t="s">
        <v>72</v>
      </c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9"/>
    </row>
    <row r="76" spans="1:43" x14ac:dyDescent="0.3">
      <c r="A76" s="222"/>
      <c r="N76" s="221"/>
      <c r="O76" s="50"/>
      <c r="AC76" s="221"/>
      <c r="AD76" s="50"/>
      <c r="AQ76" s="223"/>
    </row>
    <row r="77" spans="1:43" ht="14.4" thickBot="1" x14ac:dyDescent="0.3">
      <c r="A77" s="230" t="s">
        <v>73</v>
      </c>
      <c r="B77" s="231"/>
      <c r="C77" s="231"/>
      <c r="D77" s="231"/>
      <c r="E77" s="231"/>
      <c r="F77" s="231"/>
      <c r="G77" s="231"/>
      <c r="H77" s="232" t="s">
        <v>74</v>
      </c>
      <c r="I77" s="231"/>
      <c r="J77" s="231"/>
      <c r="K77" s="231"/>
      <c r="L77" s="231"/>
      <c r="M77" s="231"/>
      <c r="N77" s="233"/>
      <c r="O77" s="234" t="s">
        <v>73</v>
      </c>
      <c r="P77" s="231"/>
      <c r="Q77" s="231"/>
      <c r="R77" s="231"/>
      <c r="S77" s="231"/>
      <c r="T77" s="231"/>
      <c r="U77" s="231"/>
      <c r="V77" s="232" t="s">
        <v>75</v>
      </c>
      <c r="W77" s="231"/>
      <c r="X77" s="231"/>
      <c r="Y77" s="231"/>
      <c r="Z77" s="231"/>
      <c r="AA77" s="231"/>
      <c r="AB77" s="231"/>
      <c r="AC77" s="233"/>
      <c r="AD77" s="234" t="s">
        <v>25</v>
      </c>
      <c r="AE77" s="235"/>
      <c r="AF77" s="235"/>
      <c r="AG77" s="235"/>
      <c r="AH77" s="235"/>
      <c r="AI77" s="235"/>
      <c r="AJ77" s="235"/>
      <c r="AK77" s="235"/>
      <c r="AL77" s="235"/>
      <c r="AM77" s="235"/>
      <c r="AN77" s="235"/>
      <c r="AO77" s="235"/>
      <c r="AP77" s="235"/>
      <c r="AQ77" s="236"/>
    </row>
    <row r="78" spans="1:43" ht="21.6" thickBot="1" x14ac:dyDescent="0.35">
      <c r="A78" s="239">
        <v>16</v>
      </c>
      <c r="B78" s="452" t="e">
        <f>VLOOKUP($A78,Wedstrijden!$A$6:$I$20,5,0)</f>
        <v>#N/A</v>
      </c>
      <c r="C78" s="452"/>
      <c r="D78" s="452"/>
      <c r="E78" s="452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 t="e">
        <f>VLOOKUP($A78,Wedstrijden!$A$6:$I$20,9,0)</f>
        <v>#N/A</v>
      </c>
      <c r="T78" s="452"/>
      <c r="U78" s="452"/>
      <c r="V78" s="452"/>
      <c r="W78" s="452"/>
      <c r="X78" s="452"/>
      <c r="Y78" s="452"/>
      <c r="Z78" s="452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  <c r="AM78" s="43"/>
      <c r="AQ78" s="223"/>
    </row>
    <row r="79" spans="1:43" ht="18.600000000000001" thickBot="1" x14ac:dyDescent="0.35">
      <c r="A79" s="173" t="s">
        <v>69</v>
      </c>
      <c r="B79" s="174"/>
      <c r="C79" s="174"/>
      <c r="D79" s="174"/>
      <c r="E79" s="174"/>
      <c r="F79" s="174"/>
      <c r="G79" s="174"/>
      <c r="H79" s="175" t="s">
        <v>16</v>
      </c>
      <c r="I79" s="174"/>
      <c r="J79" s="174"/>
      <c r="K79" s="174" t="s">
        <v>70</v>
      </c>
      <c r="L79" s="174"/>
      <c r="M79" s="174"/>
      <c r="N79" s="174"/>
      <c r="O79" s="174"/>
      <c r="P79" s="174"/>
      <c r="Q79" s="174"/>
      <c r="R79" s="174"/>
      <c r="S79" s="174"/>
      <c r="T79" s="174"/>
      <c r="U79" s="176" t="s">
        <v>123</v>
      </c>
      <c r="V79" s="174"/>
      <c r="W79" s="174"/>
      <c r="X79" s="174"/>
      <c r="Y79" s="174"/>
      <c r="Z79" s="174"/>
      <c r="AA79" s="174"/>
      <c r="AB79" s="174"/>
      <c r="AC79" s="224"/>
      <c r="AD79" s="173" t="s">
        <v>71</v>
      </c>
      <c r="AE79" s="174"/>
      <c r="AF79" s="174"/>
      <c r="AG79" s="174"/>
      <c r="AH79" s="174"/>
      <c r="AI79" s="174"/>
      <c r="AJ79" s="174"/>
      <c r="AK79" s="176" t="s">
        <v>124</v>
      </c>
      <c r="AL79" s="174"/>
      <c r="AM79" s="174"/>
      <c r="AN79" s="174"/>
      <c r="AO79" s="174"/>
      <c r="AP79" s="174"/>
      <c r="AQ79" s="224"/>
    </row>
    <row r="80" spans="1:43" x14ac:dyDescent="0.3">
      <c r="A80" s="225" t="s">
        <v>72</v>
      </c>
      <c r="B80" s="226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7"/>
      <c r="O80" s="228" t="s">
        <v>72</v>
      </c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7"/>
      <c r="AD80" s="228" t="s">
        <v>72</v>
      </c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9"/>
    </row>
    <row r="81" spans="1:43" x14ac:dyDescent="0.3">
      <c r="A81" s="222"/>
      <c r="N81" s="221"/>
      <c r="O81" s="50"/>
      <c r="AC81" s="221"/>
      <c r="AD81" s="50"/>
      <c r="AQ81" s="223"/>
    </row>
    <row r="82" spans="1:43" ht="14.4" thickBot="1" x14ac:dyDescent="0.3">
      <c r="A82" s="230" t="s">
        <v>73</v>
      </c>
      <c r="B82" s="231"/>
      <c r="C82" s="231"/>
      <c r="D82" s="231"/>
      <c r="E82" s="231"/>
      <c r="F82" s="231"/>
      <c r="G82" s="231"/>
      <c r="H82" s="232" t="s">
        <v>74</v>
      </c>
      <c r="I82" s="231"/>
      <c r="J82" s="231"/>
      <c r="K82" s="231"/>
      <c r="L82" s="231"/>
      <c r="M82" s="231"/>
      <c r="N82" s="233"/>
      <c r="O82" s="234" t="s">
        <v>73</v>
      </c>
      <c r="P82" s="231"/>
      <c r="Q82" s="231"/>
      <c r="R82" s="231"/>
      <c r="S82" s="231"/>
      <c r="T82" s="231"/>
      <c r="U82" s="231"/>
      <c r="V82" s="232" t="s">
        <v>75</v>
      </c>
      <c r="W82" s="231"/>
      <c r="X82" s="231"/>
      <c r="Y82" s="231"/>
      <c r="Z82" s="231"/>
      <c r="AA82" s="231"/>
      <c r="AB82" s="231"/>
      <c r="AC82" s="233"/>
      <c r="AD82" s="234" t="s">
        <v>25</v>
      </c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5"/>
      <c r="AQ82" s="236"/>
    </row>
  </sheetData>
  <sheetProtection sheet="1" objects="1" scenarios="1"/>
  <mergeCells count="32">
    <mergeCell ref="S2:AJ2"/>
    <mergeCell ref="B2:R2"/>
    <mergeCell ref="B7:R7"/>
    <mergeCell ref="S7:AJ7"/>
    <mergeCell ref="B12:R12"/>
    <mergeCell ref="S12:AJ12"/>
    <mergeCell ref="B53:R53"/>
    <mergeCell ref="S53:AJ53"/>
    <mergeCell ref="S17:AJ17"/>
    <mergeCell ref="B22:R22"/>
    <mergeCell ref="S22:AJ22"/>
    <mergeCell ref="B27:R27"/>
    <mergeCell ref="S27:AJ27"/>
    <mergeCell ref="B32:R32"/>
    <mergeCell ref="S32:AJ32"/>
    <mergeCell ref="B17:R17"/>
    <mergeCell ref="B37:R37"/>
    <mergeCell ref="S37:AJ37"/>
    <mergeCell ref="B42:R42"/>
    <mergeCell ref="S42:AJ42"/>
    <mergeCell ref="B47:R47"/>
    <mergeCell ref="S47:AJ47"/>
    <mergeCell ref="B73:R73"/>
    <mergeCell ref="S73:AJ73"/>
    <mergeCell ref="B78:R78"/>
    <mergeCell ref="S78:AJ78"/>
    <mergeCell ref="B58:R58"/>
    <mergeCell ref="S58:AJ58"/>
    <mergeCell ref="B63:R63"/>
    <mergeCell ref="S63:AJ63"/>
    <mergeCell ref="B68:R68"/>
    <mergeCell ref="S68:AJ68"/>
  </mergeCells>
  <pageMargins left="0.19685039370078741" right="0.19685039370078741" top="0.19685039370078741" bottom="0.19685039370078741" header="0.31496062992125984" footer="0.31496062992125984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34DE417B-231D-4D2F-AA08-178567BA89FB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DFCA7B52-2E00-4C35-9683-B3849132BF5C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29</vt:i4>
      </vt:variant>
      <vt:variant>
        <vt:lpstr>Benoemde bereiken</vt:lpstr>
      </vt:variant>
      <vt:variant>
        <vt:i4>1</vt:i4>
      </vt:variant>
    </vt:vector>
  </HeadingPairs>
  <TitlesOfParts>
    <vt:vector size="30" baseType="lpstr">
      <vt:lpstr>Wedstrijden</vt:lpstr>
      <vt:lpstr>berekeningen</vt:lpstr>
      <vt:lpstr>berekening1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spelerslijsten</vt:lpstr>
      <vt:lpstr>Topscorelijst</vt:lpstr>
      <vt:lpstr>Handleiding</vt:lpstr>
      <vt:lpstr>Wedstrijdformulier</vt:lpstr>
      <vt:lpstr>Handtekening</vt:lpstr>
      <vt:lpstr>Wedstrijdformulier!Afdrukbereik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manbast@ziggo.nl</dc:creator>
  <cp:lastModifiedBy>Manuel Bastiaans</cp:lastModifiedBy>
  <cp:lastPrinted>2025-03-12T17:44:57Z</cp:lastPrinted>
  <dcterms:created xsi:type="dcterms:W3CDTF">2017-03-27T13:50:50Z</dcterms:created>
  <dcterms:modified xsi:type="dcterms:W3CDTF">2025-03-16T18:51:18Z</dcterms:modified>
</cp:coreProperties>
</file>